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showInkAnnotation="0" defaultThemeVersion="124226"/>
  <mc:AlternateContent xmlns:mc="http://schemas.openxmlformats.org/markup-compatibility/2006">
    <mc:Choice Requires="x15">
      <x15ac:absPath xmlns:x15ac="http://schemas.microsoft.com/office/spreadsheetml/2010/11/ac" url="https://exchcrates-my.sharepoint.com/personal/brian_zgn_ca/Documents/Documents/"/>
    </mc:Choice>
  </mc:AlternateContent>
  <xr:revisionPtr revIDLastSave="0" documentId="8_{9A1E6284-45AD-4178-837A-4CF407F9D635}" xr6:coauthVersionLast="47" xr6:coauthVersionMax="47" xr10:uidLastSave="{00000000-0000-0000-0000-000000000000}"/>
  <workbookProtection workbookAlgorithmName="SHA-512" workbookHashValue="ZvLkIPjhOY6+TTfldvevunGThNbe4Gb6MOOR0vVGLGXF2gWnqfZHy73drTcxVsmdSh0MLT7BH5h335YAVY6YAA==" workbookSaltValue="oEELhUIluHo5IESbQ5NTvA==" workbookSpinCount="100000" lockStructure="1"/>
  <bookViews>
    <workbookView xWindow="9390" yWindow="0" windowWidth="29010" windowHeight="15435" xr2:uid="{00000000-000D-0000-FFFF-FFFF00000000}"/>
  </bookViews>
  <sheets>
    <sheet name="2022 Land Storage Worksheet" sheetId="1" r:id="rId1"/>
  </sheets>
  <definedNames>
    <definedName name="_xlnm.Print_Area" localSheetId="0">'2022 Land Storage Worksheet'!$A$1:$O$208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1" i="1" l="1"/>
  <c r="Q10" i="1"/>
  <c r="F61" i="1" s="1"/>
  <c r="K139" i="1"/>
  <c r="H139" i="1"/>
  <c r="E139" i="1"/>
  <c r="BP33" i="1"/>
  <c r="BP34" i="1"/>
  <c r="BP19" i="1"/>
  <c r="BP20" i="1"/>
  <c r="BP21" i="1"/>
  <c r="BP22" i="1"/>
  <c r="BP23" i="1"/>
  <c r="BP24" i="1"/>
  <c r="BP18" i="1"/>
  <c r="BN94" i="1"/>
  <c r="BP94" i="1" s="1"/>
  <c r="BN95" i="1"/>
  <c r="BP95" i="1" s="1"/>
  <c r="BN96" i="1"/>
  <c r="BP96" i="1" s="1"/>
  <c r="BN97" i="1"/>
  <c r="BP97" i="1" s="1"/>
  <c r="BN98" i="1"/>
  <c r="BP98" i="1" s="1"/>
  <c r="BN99" i="1"/>
  <c r="BP99" i="1" s="1"/>
  <c r="BN100" i="1"/>
  <c r="BP100" i="1" s="1"/>
  <c r="BN101" i="1"/>
  <c r="BP101" i="1" s="1"/>
  <c r="BN102" i="1"/>
  <c r="BP102" i="1" s="1"/>
  <c r="BN103" i="1"/>
  <c r="BP103" i="1" s="1"/>
  <c r="BN104" i="1"/>
  <c r="BP104" i="1" s="1"/>
  <c r="BN105" i="1"/>
  <c r="BP105" i="1" s="1"/>
  <c r="BN106" i="1"/>
  <c r="BP106" i="1" s="1"/>
  <c r="BN107" i="1"/>
  <c r="BP107" i="1" s="1"/>
  <c r="BN93" i="1"/>
  <c r="BP93" i="1" s="1"/>
  <c r="BN90" i="1"/>
  <c r="BP90" i="1" s="1"/>
  <c r="BN89" i="1"/>
  <c r="BN88" i="1"/>
  <c r="BP88" i="1" s="1"/>
  <c r="BN87" i="1"/>
  <c r="BP87" i="1" s="1"/>
  <c r="BN86" i="1"/>
  <c r="BP86" i="1" s="1"/>
  <c r="BN85" i="1"/>
  <c r="BP85" i="1" s="1"/>
  <c r="BN84" i="1"/>
  <c r="BP84" i="1" s="1"/>
  <c r="BN83" i="1"/>
  <c r="BP83" i="1" s="1"/>
  <c r="BN82" i="1"/>
  <c r="BP82" i="1" s="1"/>
  <c r="BN79" i="1"/>
  <c r="BP79" i="1" s="1"/>
  <c r="BN78" i="1"/>
  <c r="BN77" i="1"/>
  <c r="BP77" i="1" s="1"/>
  <c r="BN76" i="1"/>
  <c r="BP76" i="1" s="1"/>
  <c r="BN75" i="1"/>
  <c r="BP75" i="1" s="1"/>
  <c r="BN74" i="1"/>
  <c r="BP74" i="1" s="1"/>
  <c r="BN73" i="1"/>
  <c r="BP73" i="1" s="1"/>
  <c r="BN72" i="1"/>
  <c r="BP72" i="1" s="1"/>
  <c r="BN71" i="1"/>
  <c r="BP71" i="1" s="1"/>
  <c r="BN68" i="1"/>
  <c r="BP68" i="1" s="1"/>
  <c r="BN67" i="1"/>
  <c r="BP67" i="1" s="1"/>
  <c r="BN64" i="1"/>
  <c r="BP64" i="1" s="1"/>
  <c r="BN63" i="1"/>
  <c r="BP63" i="1" s="1"/>
  <c r="BN62" i="1"/>
  <c r="BP62" i="1" s="1"/>
  <c r="BN61" i="1"/>
  <c r="BP61" i="1" s="1"/>
  <c r="BN60" i="1"/>
  <c r="BP60" i="1" s="1"/>
  <c r="BN59" i="1"/>
  <c r="BP59" i="1" s="1"/>
  <c r="BN47" i="1"/>
  <c r="BP47" i="1" s="1"/>
  <c r="BN48" i="1"/>
  <c r="BP48" i="1" s="1"/>
  <c r="BN49" i="1"/>
  <c r="BP49" i="1" s="1"/>
  <c r="BN50" i="1"/>
  <c r="BP50" i="1" s="1"/>
  <c r="BN51" i="1"/>
  <c r="BP51" i="1" s="1"/>
  <c r="BN52" i="1"/>
  <c r="BP52" i="1" s="1"/>
  <c r="BN54" i="1"/>
  <c r="BP54" i="1" s="1"/>
  <c r="BN55" i="1"/>
  <c r="BP55" i="1" s="1"/>
  <c r="BN56" i="1"/>
  <c r="BN46" i="1"/>
  <c r="BP46" i="1" s="1"/>
  <c r="BN39" i="1"/>
  <c r="BN40" i="1"/>
  <c r="BN41" i="1"/>
  <c r="BN42" i="1"/>
  <c r="BN43" i="1"/>
  <c r="BN38" i="1"/>
  <c r="G54" i="1"/>
  <c r="K138" i="1" l="1"/>
  <c r="K136" i="1" l="1"/>
  <c r="H136" i="1"/>
  <c r="E135" i="1"/>
  <c r="K134" i="1"/>
  <c r="G64" i="1"/>
  <c r="I64" i="1" s="1"/>
  <c r="F63" i="1"/>
  <c r="G63" i="1"/>
  <c r="G60" i="1"/>
  <c r="G59" i="1"/>
  <c r="G86" i="1" l="1"/>
  <c r="I86" i="1" s="1"/>
  <c r="G85" i="1"/>
  <c r="I107" i="1"/>
  <c r="F87" i="1"/>
  <c r="F83" i="1"/>
  <c r="F82" i="1"/>
  <c r="F76" i="1"/>
  <c r="F75" i="1"/>
  <c r="F74" i="1"/>
  <c r="F73" i="1"/>
  <c r="F72" i="1"/>
  <c r="F71" i="1"/>
  <c r="G29" i="1"/>
  <c r="F60" i="1"/>
  <c r="I63" i="1"/>
  <c r="G62" i="1"/>
  <c r="I62" i="1" s="1"/>
  <c r="I61" i="1"/>
  <c r="G68" i="1"/>
  <c r="I68" i="1" s="1"/>
  <c r="G67" i="1"/>
  <c r="I67" i="1" s="1"/>
  <c r="I106" i="1"/>
  <c r="I59" i="1"/>
  <c r="I60" i="1"/>
  <c r="AY61" i="1"/>
  <c r="AX61" i="1"/>
  <c r="AW61" i="1"/>
  <c r="AV61" i="1"/>
  <c r="AU61" i="1"/>
  <c r="AT61" i="1"/>
  <c r="AS61" i="1"/>
  <c r="AR61" i="1"/>
  <c r="AQ61" i="1"/>
  <c r="AP61" i="1"/>
  <c r="AO61" i="1"/>
  <c r="AN61" i="1"/>
  <c r="AM61" i="1"/>
  <c r="AL61" i="1"/>
  <c r="AK61" i="1"/>
  <c r="AJ61" i="1"/>
  <c r="AI61" i="1"/>
  <c r="AH61" i="1"/>
  <c r="AG61" i="1"/>
  <c r="AF61" i="1"/>
  <c r="N66" i="1" l="1"/>
  <c r="N58" i="1"/>
  <c r="G88" i="1"/>
  <c r="I88" i="1" s="1"/>
  <c r="G87" i="1"/>
  <c r="I87" i="1" s="1"/>
  <c r="G21" i="1"/>
  <c r="I21" i="1" s="1"/>
  <c r="G55" i="1"/>
  <c r="I55" i="1" s="1"/>
  <c r="I54" i="1"/>
  <c r="G46" i="1"/>
  <c r="I46" i="1" s="1"/>
  <c r="G47" i="1"/>
  <c r="I47" i="1" s="1"/>
  <c r="G48" i="1"/>
  <c r="I48" i="1" s="1"/>
  <c r="G51" i="1"/>
  <c r="I51" i="1" s="1"/>
  <c r="G52" i="1"/>
  <c r="I52" i="1" s="1"/>
  <c r="G49" i="1"/>
  <c r="G43" i="1"/>
  <c r="I43" i="1" s="1"/>
  <c r="G42" i="1"/>
  <c r="I42" i="1" s="1"/>
  <c r="G38" i="1"/>
  <c r="I38" i="1" s="1"/>
  <c r="G39" i="1"/>
  <c r="I39" i="1" s="1"/>
  <c r="G40" i="1"/>
  <c r="I40" i="1" s="1"/>
  <c r="G41" i="1"/>
  <c r="I41" i="1" s="1"/>
  <c r="G71" i="1"/>
  <c r="G72" i="1"/>
  <c r="I72" i="1" s="1"/>
  <c r="G73" i="1"/>
  <c r="I73" i="1" s="1"/>
  <c r="G74" i="1"/>
  <c r="I74" i="1" s="1"/>
  <c r="G75" i="1"/>
  <c r="I75" i="1" s="1"/>
  <c r="G76" i="1"/>
  <c r="I76" i="1" s="1"/>
  <c r="G83" i="1"/>
  <c r="I83" i="1" s="1"/>
  <c r="G82" i="1"/>
  <c r="G84" i="1"/>
  <c r="I84" i="1" s="1"/>
  <c r="I93" i="1"/>
  <c r="I98" i="1"/>
  <c r="I100" i="1"/>
  <c r="I94" i="1"/>
  <c r="I95" i="1"/>
  <c r="I96" i="1"/>
  <c r="G19" i="1"/>
  <c r="I19" i="1" s="1"/>
  <c r="G18" i="1"/>
  <c r="I18" i="1" s="1"/>
  <c r="G22" i="1"/>
  <c r="I22" i="1" s="1"/>
  <c r="G23" i="1"/>
  <c r="I23" i="1" s="1"/>
  <c r="G28" i="1"/>
  <c r="I28" i="1" s="1"/>
  <c r="G27" i="1"/>
  <c r="I27" i="1" s="1"/>
  <c r="G33" i="1"/>
  <c r="I33" i="1" s="1"/>
  <c r="G32" i="1"/>
  <c r="I32" i="1" s="1"/>
  <c r="G34" i="1"/>
  <c r="I34" i="1" s="1"/>
  <c r="I35" i="1"/>
  <c r="E137" i="1"/>
  <c r="H137" i="1"/>
  <c r="K137" i="1"/>
  <c r="H138" i="1"/>
  <c r="E138" i="1"/>
  <c r="E134" i="1"/>
  <c r="AQ48" i="1"/>
  <c r="AV48" i="1"/>
  <c r="I97" i="1"/>
  <c r="I99" i="1"/>
  <c r="I101" i="1"/>
  <c r="I102" i="1"/>
  <c r="I103" i="1"/>
  <c r="I104" i="1"/>
  <c r="I105" i="1"/>
  <c r="AW73" i="1"/>
  <c r="AV73" i="1"/>
  <c r="AU73" i="1"/>
  <c r="AR73" i="1"/>
  <c r="AQ73" i="1"/>
  <c r="Q16" i="1"/>
  <c r="AT73" i="1"/>
  <c r="AK48" i="1"/>
  <c r="AT48" i="1"/>
  <c r="AH48" i="1"/>
  <c r="AF48" i="1"/>
  <c r="AG48" i="1"/>
  <c r="AP48" i="1"/>
  <c r="Q14" i="1"/>
  <c r="I11" i="1" s="1"/>
  <c r="BL73" i="1"/>
  <c r="BK73" i="1"/>
  <c r="BJ73" i="1"/>
  <c r="BI73" i="1"/>
  <c r="BH73" i="1"/>
  <c r="BG73" i="1"/>
  <c r="BF73" i="1"/>
  <c r="BE73" i="1"/>
  <c r="BD73" i="1"/>
  <c r="BC73" i="1"/>
  <c r="BA73" i="1"/>
  <c r="AZ73" i="1"/>
  <c r="AY73" i="1"/>
  <c r="AX73" i="1"/>
  <c r="AS73" i="1"/>
  <c r="AU48" i="1"/>
  <c r="AY48" i="1"/>
  <c r="AX48" i="1"/>
  <c r="AW48" i="1"/>
  <c r="AS48" i="1"/>
  <c r="AR48" i="1"/>
  <c r="AM48" i="1"/>
  <c r="AL48" i="1"/>
  <c r="AO48" i="1"/>
  <c r="AN48" i="1"/>
  <c r="AJ48" i="1"/>
  <c r="AI48" i="1"/>
  <c r="AP73" i="1"/>
  <c r="BB73" i="1"/>
  <c r="F52" i="1"/>
  <c r="F51" i="1"/>
  <c r="F46" i="1"/>
  <c r="F49" i="1"/>
  <c r="F48" i="1"/>
  <c r="F47" i="1"/>
  <c r="Q12" i="1"/>
  <c r="F64" i="1" s="1"/>
  <c r="Q8" i="1"/>
  <c r="F62" i="1" s="1"/>
  <c r="F88" i="1"/>
  <c r="N92" i="1" l="1"/>
  <c r="N26" i="1"/>
  <c r="I71" i="1"/>
  <c r="G77" i="1"/>
  <c r="I77" i="1" s="1"/>
  <c r="G50" i="1"/>
  <c r="I50" i="1" s="1"/>
  <c r="M12" i="1"/>
  <c r="I85" i="1"/>
  <c r="G90" i="1"/>
  <c r="I90" i="1" s="1"/>
  <c r="G89" i="1"/>
  <c r="I89" i="1" s="1"/>
  <c r="F68" i="1"/>
  <c r="F67" i="1"/>
  <c r="F59" i="1"/>
  <c r="M7" i="1"/>
  <c r="M9" i="1"/>
  <c r="I49" i="1"/>
  <c r="I82" i="1"/>
  <c r="G24" i="1"/>
  <c r="I24" i="1" s="1"/>
  <c r="N17" i="1" s="1"/>
  <c r="N37" i="1"/>
  <c r="N31" i="1"/>
  <c r="G79" i="1" l="1"/>
  <c r="I79" i="1" s="1"/>
  <c r="N81" i="1"/>
  <c r="G78" i="1"/>
  <c r="I78" i="1" s="1"/>
  <c r="G56" i="1"/>
  <c r="I56" i="1" s="1"/>
  <c r="N45" i="1" s="1"/>
  <c r="N70" i="1" l="1"/>
  <c r="N103" i="1" s="1"/>
  <c r="N105" i="1" s="1"/>
  <c r="N106" i="1" s="1"/>
  <c r="N107" i="1" l="1"/>
  <c r="K197" i="1" s="1"/>
  <c r="K201" i="1" s="1"/>
</calcChain>
</file>

<file path=xl/sharedStrings.xml><?xml version="1.0" encoding="utf-8"?>
<sst xmlns="http://schemas.openxmlformats.org/spreadsheetml/2006/main" count="517" uniqueCount="377">
  <si>
    <t>Where the Owner has contracted Crate's Lake Country Boats Inc. (hereinafter the "Marina") to provide winterization and/or storage services, as may be applicable, on his/her Boat, Motor, Trailer (hereinafter the "Equipment"), such services shall be detailed in the Winterizing Worksheet attached hereto as Schedule "A".  No Winterizing Worksheet is valid unless accompanied by this Agreement.  The Marina assumes no responsibility to prepare the Equipment for winter except as explicity authorized and directed by the Owner under this Agreement.  IF THE OWNER DOES NOT REQUIRE ANY WINTERIZATION SERVICES, HE/SHE MUST INITIAL HERE (___________).  By initialling here the Owner hereby releases the Marina from any obligation to winterize, service, clean, maintain or otherwise care for the Equipment and he/she agrees to indemnify and save harmless the Marina for any damage caused by lack of service or maintenance including, but not limited to, improper or inadequate winterization. This Agreement shall remain in full force and effect at all times while the Equipment is on the property of the Marina.</t>
  </si>
  <si>
    <r>
      <t>7. NO DUTY TO INSPECT OR MAINTAIN</t>
    </r>
    <r>
      <rPr>
        <sz val="7"/>
        <color indexed="8"/>
        <rFont val="Arial"/>
        <family val="2"/>
      </rPr>
      <t xml:space="preserve">
(a) The Marina shall have no obligation to inspect or provide maintenance or repair for the Equipment except as authorized and directed by the Owner pursuant to this Agreement; and
(b) The Marina shall have no obligation to maintain or repair the covering or shrink wrapping that has been applied to the Equipment by the Marina; and
(c) The Marina shall have no obligation to notify the Owner of the necessity for any maintenance or repairs of the Equipment during the duration of this Agreement.</t>
    </r>
  </si>
  <si>
    <t>WINTER SERVICE &amp; STORAGE AGREEMENT</t>
  </si>
  <si>
    <t>day  of</t>
  </si>
  <si>
    <t xml:space="preserve"> </t>
  </si>
  <si>
    <r>
      <t>13. JURISDICTION</t>
    </r>
    <r>
      <rPr>
        <sz val="7"/>
        <color indexed="8"/>
        <rFont val="Arial"/>
        <family val="2"/>
      </rPr>
      <t xml:space="preserve">  This Agreement shall be read with all changes of gender and number required by the context.  This Agreement and the affairs of the parties shall be governed by the laws of the Province of Ontario and the venue for any legal dispute shall be the jurisdiction in which Marina is located.</t>
    </r>
  </si>
  <si>
    <t>FREQUENTLY ASKED QUESTIONS</t>
  </si>
  <si>
    <t>Boat Year</t>
  </si>
  <si>
    <t xml:space="preserve">Make </t>
  </si>
  <si>
    <t>Hull #</t>
  </si>
  <si>
    <t>Lic #</t>
  </si>
  <si>
    <r>
      <t xml:space="preserve">4. </t>
    </r>
    <r>
      <rPr>
        <b/>
        <sz val="8"/>
        <rFont val="Arial"/>
        <family val="2"/>
      </rPr>
      <t xml:space="preserve">SHRINKWRAP </t>
    </r>
    <r>
      <rPr>
        <sz val="8"/>
        <rFont val="Arial"/>
        <family val="2"/>
      </rPr>
      <t>Due to insurance regulations customers are not permitted to tarp or shrink wrap their boat on marina property.  Shrink wrap removal and recycling in the spring is additional and will be billed upon completion.</t>
    </r>
  </si>
  <si>
    <t>Name of Person Authorizing Work</t>
  </si>
  <si>
    <t>Authorized Signature</t>
  </si>
  <si>
    <t>Date</t>
  </si>
  <si>
    <t>X:</t>
  </si>
  <si>
    <t>WARNING TO BOAT OWNERS</t>
  </si>
  <si>
    <t>YOU SHOULD NOTIFY YOUR INSURANCE COMPANY YOU HAVE SIGNED THIS AGREEMENT AS IT MAY INVALIDATE YOUR INSURANCE UNLESS YOU HAVE THE CONSENT OF THE INSURANCE COMPANY IN WRITING.</t>
  </si>
  <si>
    <t>I have read &amp; clearly understand this Agreement &amp; confirm that I have the authority to sign the Agreement.  I acknowledge this date having received a copy of the Agreement.</t>
  </si>
  <si>
    <t xml:space="preserve">Dated at </t>
  </si>
  <si>
    <t>this</t>
  </si>
  <si>
    <t>SIGNED, SEALED AND DELIVERED</t>
  </si>
  <si>
    <t>in the presence of:</t>
  </si>
  <si>
    <t>(Witness)</t>
  </si>
  <si>
    <t>(Owner(s))</t>
  </si>
  <si>
    <t>(Marina)</t>
  </si>
  <si>
    <t>This Agreement is not valid unless signed and accepted by an authorized Officer of the Marina</t>
  </si>
  <si>
    <t>The Owner hereby agrees to service and/or store the Equipment with the Marina under the following Terms and Conditions:</t>
  </si>
  <si>
    <r>
      <t>1. PAYMENT TERMS</t>
    </r>
    <r>
      <rPr>
        <sz val="7"/>
        <color indexed="8"/>
        <rFont val="Arial"/>
        <family val="2"/>
      </rPr>
      <t xml:space="preserve">  All accounts are payable in full immediately upon completion by the Marina of the winterizing services described herein.  The Marina shall charge, and the Owner shall pay interest at a rate of 24% per annum or 2% per month on any unpaid balance.</t>
    </r>
  </si>
  <si>
    <r>
      <t>2. WAIVER OF LIABILITY</t>
    </r>
    <r>
      <rPr>
        <sz val="7"/>
        <color indexed="8"/>
        <rFont val="Arial"/>
        <family val="2"/>
      </rPr>
      <t xml:space="preserve">
(a) The Owner acknowledges that the Marina does not assume any duty to care for the Equipment or to prevent loss or damage thereto while the same is under the control and direction of the Marina, or is on the Marina’s premises; and
(b) Except for the gross negligence or fraud of the Marina, the Owner hereby releases the Marina from liability for any damage, expense, or loss to the Equipment however caused, by the Marina, its employees, agents or representatives, or otherwise, while the Equipment is under the control and direction of the Marina, or are on the Marina’s premises. The Owner hereby releases and discharges the Marina, its employees, agents or representatives from all actions, causes of action, claims and demands in any way related to this Agreement; and
(c) The Owner hereby agrees to reimburse or indemnify the Marina for any damages caused to any property of the Marina, and for any sums required to be paid to anyone by the Marina, its agents, or representatives as the result of the use of or presence on the Marina premises of the Owner and/or the Equipment.</t>
    </r>
  </si>
  <si>
    <r>
      <t xml:space="preserve">3. INSURANCE  </t>
    </r>
    <r>
      <rPr>
        <sz val="7"/>
        <color indexed="8"/>
        <rFont val="Arial"/>
        <family val="2"/>
      </rPr>
      <t>The Owner hereby agrees to maintain adequate insurance coverage on the Equipment while the Equipment is under the control and direction of the Marina, or on the Marina's premises.</t>
    </r>
  </si>
  <si>
    <r>
      <t>4. CLAIM FOR LIEN</t>
    </r>
    <r>
      <rPr>
        <sz val="7"/>
        <color indexed="8"/>
        <rFont val="Arial"/>
        <family val="2"/>
      </rPr>
      <t xml:space="preserve">  The Owner acknowledges that the Marina shall have a lien against the Equipment for all unpaid sums due to the Marina under this Agreement.  The Marina shall be entitled to liens pursuant to the Repair and Storage Liens Act, R.S.O. 1990, c. R-25, as amended, and any successor statute. The Marina shall be entitled to retain possession of the Equipment until payment is received by the Marina of all sums owing by the Owner or until the Equipment is disposed of in accordance with the Repair and Storage Liens Act.</t>
    </r>
  </si>
  <si>
    <r>
      <t xml:space="preserve">5. LICENCE AGREEMENT ONLY </t>
    </r>
    <r>
      <rPr>
        <sz val="7"/>
        <color indexed="8"/>
        <rFont val="Arial"/>
        <family val="2"/>
      </rPr>
      <t>The Owner expressly acknowledges that this Agreement shall create a licence agreement between the Marina and the Owner wherein the Owner is licenced to use the storage space and area, from time to time designated by the Marina for the storage of the Owner’s Equipment.</t>
    </r>
  </si>
  <si>
    <r>
      <t xml:space="preserve">6. LOCATION FOR STORAGE </t>
    </r>
    <r>
      <rPr>
        <sz val="7"/>
        <color indexed="8"/>
        <rFont val="Arial"/>
        <family val="2"/>
      </rPr>
      <t>This Agreement shall not grant to the Owner any right, title, claim or interest in or to any specific storage space or area.  The Marina may determine, at its sole discretion, where the Equipment is to be stored.  The Marina, at its sole discretion and without notice to the Owner, may relocate the Equipment from time to time as it may deem necessary.</t>
    </r>
  </si>
  <si>
    <r>
      <t>8. SNOW REMOVAL</t>
    </r>
    <r>
      <rPr>
        <sz val="7"/>
        <color indexed="8"/>
        <rFont val="Arial"/>
        <family val="2"/>
      </rPr>
      <t xml:space="preserve"> Except where the the Owner has authorized and instructed the Marina to shrink wrap the Equipment pursuant to this Agreement, the Marina shall have no obligation to remove snow or ice from the Equipment, nor to notify the Owner of the necessity for any such snow or ice removal.  The Marina shall not be responsible for any loss, damage, cost or expense relating to the removal or non-removal of snow or ice from the Equipment.</t>
    </r>
  </si>
  <si>
    <r>
      <t>9. AUTHORITY OF CORPORATION TO EXECUTE AGREEMENT</t>
    </r>
    <r>
      <rPr>
        <sz val="7"/>
        <color indexed="8"/>
        <rFont val="Arial"/>
        <family val="2"/>
      </rPr>
      <t xml:space="preserve">  If the Owner is a corporation:
(a) The person signing this Agreement hereby acknowledges that he or she has the authority to bind the corporation; and
(b) The Owner has all necessary corporate power, authority and capacity to enter into this Agreement and to perform its obligations under this Agreement; and
(c) The execution and delivery of this Agreement and the consummation of the transaction contemplated under it have been duly authorized by all necessary corporate actions on the part of the Owner.</t>
    </r>
  </si>
  <si>
    <r>
      <t xml:space="preserve">10. ENTIRE AGREEMENT </t>
    </r>
    <r>
      <rPr>
        <sz val="7"/>
        <color indexed="8"/>
        <rFont val="Arial"/>
        <family val="2"/>
      </rPr>
      <t xml:space="preserve"> This Agreement shall constitute the entire agreement between the parties and there is no representation, warranty, condition or collateral agreement affecting this Agreement other than as expressed herein.  This Agreement may be amended only in writing upon written consent of the Marina and Owner.</t>
    </r>
  </si>
  <si>
    <r>
      <t>11. SUCCESSORS</t>
    </r>
    <r>
      <rPr>
        <sz val="7"/>
        <color indexed="8"/>
        <rFont val="Arial"/>
        <family val="2"/>
      </rPr>
      <t xml:space="preserve">  This Agreement shall be binding on each of the parties hereto, their respective heirs, executors, administrators, personal representatives, successors and assigns.</t>
    </r>
  </si>
  <si>
    <r>
      <t>12. SEVERABILITY</t>
    </r>
    <r>
      <rPr>
        <sz val="7"/>
        <color indexed="8"/>
        <rFont val="Arial"/>
        <family val="2"/>
      </rPr>
      <t xml:space="preserve">  The Owner agrees that all provisions to this Agreement are severable.  If any provision is held to be invalid, it shall not affect the other provisions, which shall be given full force and effect.</t>
    </r>
  </si>
  <si>
    <t>OWNER INFORMATION</t>
  </si>
  <si>
    <t>BOAT DESCRIPTION</t>
  </si>
  <si>
    <t>Engine Make</t>
  </si>
  <si>
    <t>Beam</t>
  </si>
  <si>
    <t>Up to 22'</t>
  </si>
  <si>
    <t>23' - 29'</t>
  </si>
  <si>
    <t>40' - 49'</t>
  </si>
  <si>
    <t>Blocking</t>
  </si>
  <si>
    <t>RATE</t>
  </si>
  <si>
    <t>All</t>
  </si>
  <si>
    <t>50' - 60'</t>
  </si>
  <si>
    <t>Generator - Gas</t>
  </si>
  <si>
    <t>Generator - Diesel</t>
  </si>
  <si>
    <t>Volvo</t>
  </si>
  <si>
    <t># of Engines</t>
  </si>
  <si>
    <t>Battery Service</t>
  </si>
  <si>
    <t>Quote</t>
  </si>
  <si>
    <t>4-Stroke O/B &lt;125HP</t>
  </si>
  <si>
    <t>4-Stroke O/B &gt;125HP</t>
  </si>
  <si>
    <t>Engine Model</t>
  </si>
  <si>
    <t>Mercury</t>
  </si>
  <si>
    <t>Yamaha</t>
  </si>
  <si>
    <t>Crusader</t>
  </si>
  <si>
    <t>Antifreeze/Gal</t>
  </si>
  <si>
    <t>Enviro Disposal Fee</t>
  </si>
  <si>
    <t>QTY</t>
  </si>
  <si>
    <t>Volvo Fuel Filter</t>
  </si>
  <si>
    <t>Yamaha Fuel Filter</t>
  </si>
  <si>
    <t>Gas Engine</t>
  </si>
  <si>
    <t>Diesel Engine</t>
  </si>
  <si>
    <t>Shop Supplies</t>
  </si>
  <si>
    <t>Gas Generator</t>
  </si>
  <si>
    <t>Diesel Generator</t>
  </si>
  <si>
    <t>Diesel Engine 6/8 Cyl</t>
  </si>
  <si>
    <t>Diesel Engine 4 Cyl</t>
  </si>
  <si>
    <t>Merc IB Oil Filter</t>
  </si>
  <si>
    <t>Merc OB Oil Filter</t>
  </si>
  <si>
    <t>Kohler Oil Filter</t>
  </si>
  <si>
    <t>Sterndrive Oil Change</t>
  </si>
  <si>
    <t>Full Sterndrive Service</t>
  </si>
  <si>
    <t>Store Sterndrive Inside</t>
  </si>
  <si>
    <t>Prop Removal / Storage</t>
  </si>
  <si>
    <t>Fresh Water 40' and up</t>
  </si>
  <si>
    <t>Fresh Water up to 24'</t>
  </si>
  <si>
    <t>Fresh Water 25' to 30'</t>
  </si>
  <si>
    <t>Fresh Water 31' to 39'</t>
  </si>
  <si>
    <t>Icemaker</t>
  </si>
  <si>
    <t>Dockside Water</t>
  </si>
  <si>
    <t>Washdown/Livewell</t>
  </si>
  <si>
    <t>Head</t>
  </si>
  <si>
    <t>Pumpout</t>
  </si>
  <si>
    <t>Air Cond - 1st Unit</t>
  </si>
  <si>
    <t>Air Cond - Addt'l Units</t>
  </si>
  <si>
    <t>Surcharge for Flybridge</t>
  </si>
  <si>
    <t>Gelcoat Bottom - Chemical</t>
  </si>
  <si>
    <t>5. ENGINE WINTERIZE</t>
  </si>
  <si>
    <t>Email</t>
  </si>
  <si>
    <t>Home Ph</t>
  </si>
  <si>
    <t>Work Ph</t>
  </si>
  <si>
    <t>Address</t>
  </si>
  <si>
    <t>Cell Phone</t>
  </si>
  <si>
    <t>Year</t>
  </si>
  <si>
    <t>Make</t>
  </si>
  <si>
    <t>Model</t>
  </si>
  <si>
    <t>Hull Number</t>
  </si>
  <si>
    <t>Lic Number</t>
  </si>
  <si>
    <t>Drive Type</t>
  </si>
  <si>
    <t>Fuel Type</t>
  </si>
  <si>
    <t># of Batteries</t>
  </si>
  <si>
    <t>Supply &amp; Install Access Door</t>
  </si>
  <si>
    <t>Cummins</t>
  </si>
  <si>
    <t>Caterpillar</t>
  </si>
  <si>
    <t>Yanmar</t>
  </si>
  <si>
    <t>Other</t>
  </si>
  <si>
    <t>Outboard</t>
  </si>
  <si>
    <t>Inboard</t>
  </si>
  <si>
    <t>Jet</t>
  </si>
  <si>
    <t>IPS</t>
  </si>
  <si>
    <t>Fuel</t>
  </si>
  <si>
    <t>Gas</t>
  </si>
  <si>
    <t>Diesel</t>
  </si>
  <si>
    <t>Generator</t>
  </si>
  <si>
    <t>Kohler</t>
  </si>
  <si>
    <t>Onan</t>
  </si>
  <si>
    <t>Westerbeke</t>
  </si>
  <si>
    <t>Fisher-Panda</t>
  </si>
  <si>
    <t>Quicksilver</t>
  </si>
  <si>
    <t>(Gal)</t>
  </si>
  <si>
    <t>(Ft)</t>
  </si>
  <si>
    <t xml:space="preserve">Length Overall </t>
  </si>
  <si>
    <t>Drive</t>
  </si>
  <si>
    <t>Engine</t>
  </si>
  <si>
    <t>Gen</t>
  </si>
  <si>
    <t>Dropdown Controls</t>
  </si>
  <si>
    <t>Fuel Onboard (Est)</t>
  </si>
  <si>
    <t>Painted Bottom - Steam Only</t>
  </si>
  <si>
    <t>TOTAL</t>
  </si>
  <si>
    <t>Fuel Stab 60 Gal</t>
  </si>
  <si>
    <t>Storage Seal Mix</t>
  </si>
  <si>
    <t>Merc OB Fuel Filter</t>
  </si>
  <si>
    <t>Material</t>
  </si>
  <si>
    <t>P/N</t>
  </si>
  <si>
    <t>Price</t>
  </si>
  <si>
    <t>Crusader Fuel Filter</t>
  </si>
  <si>
    <t>Merc IB Fuel Filter</t>
  </si>
  <si>
    <t>Kohler Fuel Filter</t>
  </si>
  <si>
    <t>Onan Fuel Filter</t>
  </si>
  <si>
    <t>Quicksilver Fuel Filter</t>
  </si>
  <si>
    <t>Westerbeke Fuel Filter</t>
  </si>
  <si>
    <t>Caterpillar Parts</t>
  </si>
  <si>
    <t>Cummins Parts</t>
  </si>
  <si>
    <t>Crusader Parts</t>
  </si>
  <si>
    <t>Merc OB Parts &lt;125</t>
  </si>
  <si>
    <t>Merc OB Parts &gt;125</t>
  </si>
  <si>
    <t>Volvo Diesel Parts</t>
  </si>
  <si>
    <t>Yamaha Parts &lt;125</t>
  </si>
  <si>
    <t>Yamaha Parts &gt;125</t>
  </si>
  <si>
    <t>Yanmar Parts</t>
  </si>
  <si>
    <t>Kohler Parts</t>
  </si>
  <si>
    <t>Onan Parts</t>
  </si>
  <si>
    <t>Quicksilver Parts</t>
  </si>
  <si>
    <t>Westerbeke Parts</t>
  </si>
  <si>
    <t>Fischer Panda Prts</t>
  </si>
  <si>
    <t>Diesel Cond 60 Gal</t>
  </si>
  <si>
    <t>Crusader Oil Filter</t>
  </si>
  <si>
    <t>Volvo Ash Oil - 1L</t>
  </si>
  <si>
    <t>Volvo Ash Oil - 4L</t>
  </si>
  <si>
    <t>Volvo Synth Oil - 1L</t>
  </si>
  <si>
    <t>Volvo Synth Oil - 4L</t>
  </si>
  <si>
    <t>Volvo Spin-on Filter</t>
  </si>
  <si>
    <t>Volvo Cart Filter</t>
  </si>
  <si>
    <t>Fischer Panda Filter</t>
  </si>
  <si>
    <t>Onan Oil Filter</t>
  </si>
  <si>
    <t>Westerbeke Oil Filter</t>
  </si>
  <si>
    <t>Quicksilver Oil Filter</t>
  </si>
  <si>
    <t>Crusader Oil</t>
  </si>
  <si>
    <t>Engine Oil Filters</t>
  </si>
  <si>
    <t>Generator Oil Filters</t>
  </si>
  <si>
    <t>SAE30 Gen Oil</t>
  </si>
  <si>
    <t>Engine Oil</t>
  </si>
  <si>
    <t>Universal Parts</t>
  </si>
  <si>
    <t>Fuel Filters</t>
  </si>
  <si>
    <t>Gear Oil</t>
  </si>
  <si>
    <t>Engine Winterize Parts Summary</t>
  </si>
  <si>
    <t>Engine Oil Change Parts Summary</t>
  </si>
  <si>
    <t>Generator Oil Change Parts Summary</t>
  </si>
  <si>
    <t>Cyl</t>
  </si>
  <si>
    <t>Drive Service Parts</t>
  </si>
  <si>
    <t>Merc Alpha</t>
  </si>
  <si>
    <t>Merc Bravo</t>
  </si>
  <si>
    <t>Volvo SX</t>
  </si>
  <si>
    <t>Volvo DP</t>
  </si>
  <si>
    <t>Merc Alpha Service</t>
  </si>
  <si>
    <t>Merc Bravo Service</t>
  </si>
  <si>
    <t>Volvo SX Service</t>
  </si>
  <si>
    <t>Volvo DP Service</t>
  </si>
  <si>
    <t>Merc Alpha Oil Change</t>
  </si>
  <si>
    <t>Merc Bravo Oil Change</t>
  </si>
  <si>
    <t>Volvo SX Oil Change</t>
  </si>
  <si>
    <t>Volvo DP Oil Change</t>
  </si>
  <si>
    <t># of Cylinders</t>
  </si>
  <si>
    <t>Boat Name</t>
  </si>
  <si>
    <t>Key Location</t>
  </si>
  <si>
    <t>Price / Gal</t>
  </si>
  <si>
    <t>Antifreeze - Qty / Gal</t>
  </si>
  <si>
    <t>Merc IB 4CYL Parts</t>
  </si>
  <si>
    <t>Merc IB 6CYL Parts</t>
  </si>
  <si>
    <t>Merc IB 8CYL Parts</t>
  </si>
  <si>
    <t>Volvo Gas 4CYL Parts</t>
  </si>
  <si>
    <t>Volvo Gas 6CYL Parts</t>
  </si>
  <si>
    <t>Volvo Gas 8CYL Parts</t>
  </si>
  <si>
    <t>Drive Oil Change Parts</t>
  </si>
  <si>
    <t>No Damp Dehumidifier (Ea.)</t>
  </si>
  <si>
    <t>Drive Lock (Mandatory for I/O's)</t>
  </si>
  <si>
    <t>Gas Engine - Standard</t>
  </si>
  <si>
    <t>2-Stroke Outboard</t>
  </si>
  <si>
    <t>710-92-8m0047922</t>
  </si>
  <si>
    <t>SSM</t>
  </si>
  <si>
    <t>35-8m0060041</t>
  </si>
  <si>
    <t>Merc OB Gear Oil</t>
  </si>
  <si>
    <t>Yamaha Gear Oil</t>
  </si>
  <si>
    <t>Generator Winterize Parts</t>
  </si>
  <si>
    <t>PH8A</t>
  </si>
  <si>
    <t>Merc IB Ash Oil - 4L</t>
  </si>
  <si>
    <t>Merc IB Ash Oil - 1L</t>
  </si>
  <si>
    <t>Merc OB Syn Oil - 4L</t>
  </si>
  <si>
    <t>Merc OB Syn Oil - 1L</t>
  </si>
  <si>
    <t>Volvo Gas 6CYL Ash</t>
  </si>
  <si>
    <t>Volvo Gas 4CYL Ash</t>
  </si>
  <si>
    <t>Volvo Gas 8CYL Ash</t>
  </si>
  <si>
    <t>Volvo Gas 4CYL Syn</t>
  </si>
  <si>
    <t>Volvo Gas 8CYL Syn</t>
  </si>
  <si>
    <t>Volvo Gas 6CYL Syn</t>
  </si>
  <si>
    <t>Yamalube - 1L</t>
  </si>
  <si>
    <t>Yamaha OB Filter &lt;125</t>
  </si>
  <si>
    <t>Yamaha OB Filter &gt;125</t>
  </si>
  <si>
    <t>PWC - 4-Stroke</t>
  </si>
  <si>
    <t>n/a</t>
  </si>
  <si>
    <t>Merc IB Synth - 4L</t>
  </si>
  <si>
    <t>Merc IB Synth - 1L</t>
  </si>
  <si>
    <t>Merc IB 4CYL Ash</t>
  </si>
  <si>
    <t>Merc IB 6CYL Ash</t>
  </si>
  <si>
    <t>Merc IB 8CYL Ash</t>
  </si>
  <si>
    <t>Gas Engine - Synthetic*</t>
  </si>
  <si>
    <t>Crusader Synth Parts</t>
  </si>
  <si>
    <t>Crusader Ash Parts</t>
  </si>
  <si>
    <t>Merc IB 4Cyl Synth</t>
  </si>
  <si>
    <t>Merc IB 6 Cyl Synth</t>
  </si>
  <si>
    <t>Merc I/B 8 Cyl Synth</t>
  </si>
  <si>
    <t>92-858055kc1</t>
  </si>
  <si>
    <t>92-858056kc1</t>
  </si>
  <si>
    <t>Name</t>
  </si>
  <si>
    <t>SUB-TOTAL</t>
  </si>
  <si>
    <t>JOB SUB-TOTAL</t>
  </si>
  <si>
    <t xml:space="preserve"> JOB SUB-TOTAL</t>
  </si>
  <si>
    <t>OTHER</t>
  </si>
  <si>
    <t>13% HST - R833926280</t>
  </si>
  <si>
    <t>Up to 25'</t>
  </si>
  <si>
    <t>26' - 29'</t>
  </si>
  <si>
    <t>30' - 34'</t>
  </si>
  <si>
    <t>PWC / Dinghy Storage</t>
  </si>
  <si>
    <t>Any Size Boat - LOA x Beam</t>
  </si>
  <si>
    <t>35' &amp; Up</t>
  </si>
  <si>
    <t>SERVICE ESTIMATES</t>
  </si>
  <si>
    <t>Storage to May 31</t>
  </si>
  <si>
    <r>
      <t>1</t>
    </r>
    <r>
      <rPr>
        <sz val="8"/>
        <rFont val="Arial"/>
        <family val="2"/>
      </rPr>
      <t>.</t>
    </r>
    <r>
      <rPr>
        <b/>
        <sz val="8"/>
        <rFont val="Arial"/>
        <family val="2"/>
      </rPr>
      <t xml:space="preserve"> L.O.A.</t>
    </r>
    <r>
      <rPr>
        <sz val="8"/>
        <rFont val="Arial"/>
        <family val="2"/>
      </rPr>
      <t xml:space="preserve"> Means length overall of your boat including swim platform and bow pulpit.</t>
    </r>
  </si>
  <si>
    <r>
      <t xml:space="preserve">2. </t>
    </r>
    <r>
      <rPr>
        <b/>
        <sz val="8"/>
        <rFont val="Arial"/>
        <family val="2"/>
      </rPr>
      <t>KEYS</t>
    </r>
    <r>
      <rPr>
        <sz val="8"/>
        <rFont val="Arial"/>
        <family val="2"/>
      </rPr>
      <t xml:space="preserve"> You must leave ignition and cabin door keys, as applicable, with the marina at time of delivery.  A minimum $100 surcharge will be added to your invoice if we must handle or winterize your boat without keys.</t>
    </r>
  </si>
  <si>
    <r>
      <t xml:space="preserve">3. </t>
    </r>
    <r>
      <rPr>
        <b/>
        <sz val="8"/>
        <rFont val="Arial"/>
        <family val="2"/>
      </rPr>
      <t>FUEL</t>
    </r>
    <r>
      <rPr>
        <sz val="8"/>
        <rFont val="Arial"/>
        <family val="2"/>
      </rPr>
      <t xml:space="preserve"> We recommend that you store your boat with minimal fuel in the tanks; however we must have sufficient fuel to run the boat for approx 30 minutes.  If we must add fuel to winterize your boat properly you will be charged the cost of the fuel plus the additional labour required to tow and/or fill your boat with sufficient fuel.</t>
    </r>
  </si>
  <si>
    <r>
      <t xml:space="preserve">5. </t>
    </r>
    <r>
      <rPr>
        <b/>
        <sz val="8"/>
        <rFont val="Arial"/>
        <family val="2"/>
      </rPr>
      <t>PREPARING YOUR BOAT FOR WINTERIZING</t>
    </r>
    <r>
      <rPr>
        <sz val="8"/>
        <rFont val="Arial"/>
        <family val="2"/>
      </rPr>
      <t xml:space="preserve"> To ensure your boat is winterized properly, we ask that you take certain steps before delivering it to us for service and/or storage: a) ensure cockpit carpets are clean, dry, rolled-up and stowed in the cabin or taken home; b) remove all personal items, including safety gear, particularly those that may be obstructing engine room/bilge access; c) empty all refrigerators, freezers, icemakers, defrost and leave doors open; d) remove from your boat all perishables, cleaning products or other liquids that could freeze and cause damage to your boat; e) stow or remove from the boat any excess mooring equipment other than the minimum required to tie the boat up during service.   Ensuring your boat is neat, tidy and dry at time of winterizing saves time and avoids additional labour charges for the owner.  </t>
    </r>
    <r>
      <rPr>
        <b/>
        <sz val="8"/>
        <rFont val="Arial"/>
        <family val="2"/>
      </rPr>
      <t>Any equipment left onboard your boat for the winter is your responsibility - Crate's Lake Country Boats assumes no responsibility for items stored in customer boats.</t>
    </r>
  </si>
  <si>
    <r>
      <t xml:space="preserve">7. </t>
    </r>
    <r>
      <rPr>
        <b/>
        <sz val="8"/>
        <rFont val="Arial"/>
        <family val="2"/>
      </rPr>
      <t>BATTERY SERVICE</t>
    </r>
    <r>
      <rPr>
        <sz val="8"/>
        <rFont val="Arial"/>
        <family val="2"/>
      </rPr>
      <t xml:space="preserve">  According to battery manufacturer recommendations, batteries are topped-up with electrolyte (as applicable), charged, load tested, disconnected and left onboard for winter.  Only if a battery fails a load test will it be removed from the boat to avoid freezing - additional charges will apply.</t>
    </r>
  </si>
  <si>
    <r>
      <t xml:space="preserve">8. </t>
    </r>
    <r>
      <rPr>
        <b/>
        <sz val="8"/>
        <rFont val="Arial"/>
        <family val="2"/>
      </rPr>
      <t>BOTTOM WASHING</t>
    </r>
    <r>
      <rPr>
        <sz val="8"/>
        <rFont val="Arial"/>
        <family val="2"/>
      </rPr>
      <t xml:space="preserve">  If your hull bottom is coated with anti-fouling paint it should only require steam washing.  If your hull bottom is unpainted gelcoat it will probably require a chemical application in addition to steam washing.  Please only select one or the other. </t>
    </r>
  </si>
  <si>
    <r>
      <t xml:space="preserve">10. </t>
    </r>
    <r>
      <rPr>
        <b/>
        <sz val="8"/>
        <rFont val="Arial"/>
        <family val="2"/>
      </rPr>
      <t>FRESH WATER SYSTEMS</t>
    </r>
    <r>
      <rPr>
        <sz val="8"/>
        <rFont val="Arial"/>
        <family val="2"/>
      </rPr>
      <t xml:space="preserve"> Winterizing of fresh water systems includes water tank, pump, hot water tank, taps, showers and sumps. Components such as icemakers, washing machines, bait wells, washdown pumps, air conditioners etc. are additional as quoted herein.</t>
    </r>
  </si>
  <si>
    <t>30' - 39'</t>
  </si>
  <si>
    <t>74-93116c</t>
  </si>
  <si>
    <t>35-866340Q03</t>
  </si>
  <si>
    <t>35-877769K01</t>
  </si>
  <si>
    <t>92-8M0078633</t>
  </si>
  <si>
    <t>92-8M0078634</t>
  </si>
  <si>
    <t>92-8M0053662</t>
  </si>
  <si>
    <t>, 20</t>
  </si>
  <si>
    <t>74-312G55</t>
  </si>
  <si>
    <t>35-802893Q01</t>
  </si>
  <si>
    <t>?</t>
  </si>
  <si>
    <t>OBM-01LCH-KT-04</t>
  </si>
  <si>
    <t>OBM-01LCH-KT-05</t>
  </si>
  <si>
    <t>6P3-Ws24A-01</t>
  </si>
  <si>
    <t>92-8M0078640</t>
  </si>
  <si>
    <t>YMR-4MIDW-30-LT</t>
  </si>
  <si>
    <t>AMOUNT</t>
  </si>
  <si>
    <t>6. IMPELLER SERVICE</t>
  </si>
  <si>
    <t>Gas Inboard / IPS</t>
  </si>
  <si>
    <t>Diesel Inboard / IPS</t>
  </si>
  <si>
    <t>Haulout</t>
  </si>
  <si>
    <t>IPS Oil &amp; Filter Change</t>
  </si>
  <si>
    <t>Ballast Tank System</t>
  </si>
  <si>
    <t>Diagnostic Scan - Gas</t>
  </si>
  <si>
    <t>Diagnostic Scan - Diesel</t>
  </si>
  <si>
    <t>7. COMPUTER DIAGNOSTICS</t>
  </si>
  <si>
    <t>Transmission Oil &amp; Filter</t>
  </si>
  <si>
    <t>No Bottom Wash Required</t>
  </si>
  <si>
    <t>Sterndrive Lock</t>
  </si>
  <si>
    <t>8. ENGINE OIL CHANGE</t>
  </si>
  <si>
    <t>9. DRIVE / TRANSMISSION SERVICE</t>
  </si>
  <si>
    <t>10. SYSTEMS WINTERIZE</t>
  </si>
  <si>
    <t>1. HAULOUT (Per Ft LOA)</t>
  </si>
  <si>
    <t>2. BOTTOM WASHING (Per Ft LOA)</t>
  </si>
  <si>
    <t>3. SHRINK WRAP (Per Sq Ft)</t>
  </si>
  <si>
    <t>4. LAND STORAGE (Per Ft LOA)</t>
  </si>
  <si>
    <t>A clean hull means better fuel economy, no ugly stains and higher resale value. Painted bottoms only require steam cleaning while unpainted bottoms require steam cleaning plus chemical treatment. Labour and materials included.</t>
  </si>
  <si>
    <t>Protecting your boat from winter weather is critical.  While others use flimsy framing, or none at all, Crate’s protects your boat with a robust wooden frame.  The result is no snow accumulation and proper ventilation, keeping your boat safe, clean and dry.  Labour and materials included.</t>
  </si>
  <si>
    <t>Includes adding fuel stabilizer, draining your engine of water, flushing it with anti-freeze, changing the fuel filter (gas only), fogging the cylinders (gas only, as applicable), checking fluid levels, belts and hoses.  Diesel fuel filter (Racor) service is in addition to diesel engine winterizing.  Battery service includes check electrolyte levels, load test, disconnect cables and clean the terminals.  Weak batteries can be identified now so there are no surprises next spring. Crate’s engine winterizing procedures are warranty-approved, using top-quality OEM filters and lubricants.  Outboard winterization also includes changing lower unit gear oil. Labour only, materials extra.</t>
  </si>
  <si>
    <t>Dishwasher / Washing Machine</t>
  </si>
  <si>
    <t>When winterizing your systems, Crate’s utilizes a combination of compressed air and non-toxic antifreeze.  We don’t just fill your boat full of antifreeze.  In fact, we go out of our way to minimize the amount of antifreeze needed to protect your equipment properly while reducing chemical odors in your boat and protecting the environment. Labour only, materials extra.</t>
  </si>
  <si>
    <t>Cell</t>
  </si>
  <si>
    <t>Work</t>
  </si>
  <si>
    <t>As the Boat owner or his/her authorized agent, I hereby authorize the work set forth herein and agree to the additional terms and conditions set forth on Page (3) hereof under "Frequently Asked Questions" and on Page (4) hereof under "Winter Service &amp; Storage Agreement". I acknowledge and agree that I must provide the Marina with a valid Credit Card Authorization form prior to commencement of any work. I agree to pay the Marina in full immediately upon completion of the work herein. I acknowledge and agree that a service charge of 2% per month (24% per annum) will be charged on all unpaid accounts.</t>
  </si>
  <si>
    <t>Fuel Filter Service - Diesel</t>
  </si>
  <si>
    <t xml:space="preserve">Generator </t>
  </si>
  <si>
    <t>UNLESS OTHERWISE SPECIFIED, ALL PRICES ARE FOR LABOUR ONLY. PARTS AND MATERIALS ARE EXTRA AND WILL BE BILLED BASED ON ACTUAL QUANTITIES USED.</t>
  </si>
  <si>
    <t>Oil Sample &amp; Analysis</t>
  </si>
  <si>
    <t>Mercury Alpha (w/drive svc)</t>
  </si>
  <si>
    <t>For safe and efficient handling of boats from up to 60 feet, trust the professionals at Crate's. By fork lift, hydraulic trailer or Travelift, our experienced team knows how to haul and block your boat, ensuring it is properly supported and not damaged.  Don’t trust your investment with just anybody.</t>
  </si>
  <si>
    <t>Our secure storage yards keep your boat safe and sound all winter.  When you book your spring launch at time of winterization, it allows us to put your boat in a location that is accessible when you are ready to go next spring.  Boaters who don’t book their launch date at time of winterization are launched on a first-come, first-served basis.  Don’t be disappointed next spring; book your launch date now.</t>
  </si>
  <si>
    <t>Scan engine for fault codes, check for recalls and service bulletins, update engine software if available.</t>
  </si>
  <si>
    <t>For long-term reliability, regular stern drive / transmission maintenance is critical.  Most manufactures recommend changing the gear / transmission oil once a year.  Full stern drive service is recommended every 2 years and includes: remove drive; inspect gimbal bearing, u-joints, bellows, hoses, and anodes; drain gear oil; pressure test; refill gear oil; check engine alignment; reinstall drive with new gaskets and seals.  Crate’s stern drive / transmission service procedures are warranty-approved, using top-quality OEM filters and lubricants. Labour only, materials extra.</t>
  </si>
  <si>
    <t>Your water pump impeller keeps your engine cool by circulating water through it, but the rubber impeller degrades with time.  Failed impellers are the primary cause of overheating and catastrophic engine failure.  For safe and reliable operation, most manufacturers recommend replacing your impeller at least every 2 years.  Don't overlook this important service item.  Labour and materials included.</t>
  </si>
  <si>
    <t>Regular oil and filter service is critical for your engine. Most manufacturers recommend oil changes at least once a year and fall is the perfect time so dirty oil and contaminates are not left sitting in your engine all winter. Crate’s engine oil change procedures are warranty-approved, using top-quality OEM filters and lubricants. Have a large diesel engine and thinking about extending your oil change interval? Crate’s offers laboratory oil analysis, which gives you a detailed snapshot of your engine's health and can identify emerging problems before they become more serious.  Labour only, materials extra.</t>
  </si>
  <si>
    <r>
      <t xml:space="preserve">6. </t>
    </r>
    <r>
      <rPr>
        <b/>
        <sz val="8"/>
        <rFont val="Arial"/>
        <family val="2"/>
      </rPr>
      <t>ENGINE WINTERIZING</t>
    </r>
    <r>
      <rPr>
        <sz val="8"/>
        <rFont val="Arial"/>
        <family val="2"/>
      </rPr>
      <t xml:space="preserve"> Basic engine winterization includes labour, as applicable, to: add fuel stabilizer/conditioner to the fuel tank(s); remove plugs and drain water from block, manifolds, exhaust, coolers, mufflers etc; reinstall plugs, flush engine with antifreeze and fog with storage seal mixture (if recommended by engine manufacturer). Gas engine winterization includes labour to replace the fuel filter.  Diesel engine fuel filter service/replacement is additional and will be quoted upon request.  4-stroke outboard winterization also includes labour to change lower unit oil.</t>
    </r>
  </si>
  <si>
    <r>
      <t xml:space="preserve">9. </t>
    </r>
    <r>
      <rPr>
        <b/>
        <sz val="8"/>
        <rFont val="Arial"/>
        <family val="2"/>
      </rPr>
      <t>OIL CHANGES</t>
    </r>
    <r>
      <rPr>
        <sz val="8"/>
        <rFont val="Arial"/>
        <family val="2"/>
      </rPr>
      <t xml:space="preserve">  The marina follows manufacturer's recommendations for winterizing procedures, including oil changes.  Subject to availability we only use OEM parts and lubricants.  If you are unsure whether ash-based oil or synthetic oil is recommended for your engine, please speak to our service staff for guidance.  Oil change parts/materials are additional and will be billed according to the quantities used.</t>
    </r>
  </si>
  <si>
    <r>
      <t xml:space="preserve">11. </t>
    </r>
    <r>
      <rPr>
        <b/>
        <sz val="8"/>
        <rFont val="Arial"/>
        <family val="2"/>
      </rPr>
      <t>MANDATORY STERNDRIVE LOCKS</t>
    </r>
    <r>
      <rPr>
        <sz val="8"/>
        <rFont val="Arial"/>
        <family val="2"/>
      </rPr>
      <t xml:space="preserve"> All sterndrive powered boats stored with the Marina must be equipped with a sterndrive lock(s) unless the Owner chooses indoor drive storage; in which case a lock is not required.  If your drive does not have a lock installed, we will install one for your and the cost of the lock will be added to your invoice.</t>
    </r>
  </si>
  <si>
    <r>
      <t xml:space="preserve">12. </t>
    </r>
    <r>
      <rPr>
        <b/>
        <sz val="8"/>
        <rFont val="Arial"/>
        <family val="2"/>
      </rPr>
      <t>ADDITIONAL SERVICE WORK</t>
    </r>
    <r>
      <rPr>
        <sz val="8"/>
        <rFont val="Arial"/>
        <family val="2"/>
      </rPr>
      <t xml:space="preserve"> Our service team is happy to assist you with any additional service or repair work that may be required for your boat.  In order that we may work on your boat over the winter it will need to be stored it in a location that allows us ready access.  If you are contemplating winter service work, please advise us of this in the fall when your boat is delivered to us for winterizing.  Additional services should be requested at time of winterizing by selecting various options on our Winter Services Menu or speaking with our service team.  Booking your service work in the fall ensures you receive the most competitive off-season pricing and allows us to do the work without interfering with your boating season.</t>
    </r>
  </si>
  <si>
    <r>
      <t xml:space="preserve">14. </t>
    </r>
    <r>
      <rPr>
        <b/>
        <sz val="8"/>
        <rFont val="Arial"/>
        <family val="2"/>
      </rPr>
      <t>TRAILERS</t>
    </r>
    <r>
      <rPr>
        <sz val="8"/>
        <rFont val="Arial"/>
        <family val="2"/>
      </rPr>
      <t xml:space="preserve"> If your boat is brought to us and stored on a trailer, blocking charges will not apply, however additional handling charges will be assessed if we are required to unload/load your boat from/to the trailer to steamclean the bottom.  Handling charges will be quoted separately.  Please note winterizing services do not include trailer service or maintenance.  It is the Owner's responsibility to ensure the trailer is in serviceable condition including tires, brakes, bearings, coupler and lights, prior to pickup.  The Owner is also responsible to ensure that the Boat is securely strapped-down on the trailer with hull plug installed and all loose items, including canvas, securely stowed for transportation.</t>
    </r>
  </si>
  <si>
    <r>
      <t xml:space="preserve">15. </t>
    </r>
    <r>
      <rPr>
        <b/>
        <sz val="8"/>
        <rFont val="Arial"/>
        <family val="2"/>
      </rPr>
      <t>TAXES</t>
    </r>
    <r>
      <rPr>
        <sz val="8"/>
        <rFont val="Arial"/>
        <family val="2"/>
      </rPr>
      <t xml:space="preserve">  All applicable taxes are extra and will be added to your final winterizing Repair Order.</t>
    </r>
  </si>
  <si>
    <r>
      <t>16.</t>
    </r>
    <r>
      <rPr>
        <b/>
        <sz val="8"/>
        <rFont val="Arial"/>
        <family val="2"/>
      </rPr>
      <t xml:space="preserve"> DISCLAIMER</t>
    </r>
    <r>
      <rPr>
        <sz val="8"/>
        <rFont val="Arial"/>
        <family val="2"/>
      </rPr>
      <t xml:space="preserve"> The Marina assumes no responsibility whatsoever for damage to equipment not winterized by the Marina.  It is the boat owners responsibility to completely and accurately inform the Marina of all winterizing that may be required and to deliver the Boat to the Marina for service well in advance freeze-up.  The Marina assumes no responsibility for pre-existing damage.</t>
    </r>
  </si>
  <si>
    <t>TOTAL W/TAX</t>
  </si>
  <si>
    <t>2021 Rate</t>
  </si>
  <si>
    <r>
      <t xml:space="preserve">13. </t>
    </r>
    <r>
      <rPr>
        <b/>
        <sz val="8"/>
        <rFont val="Arial"/>
        <family val="2"/>
      </rPr>
      <t>STORAGE PERIOD</t>
    </r>
    <r>
      <rPr>
        <sz val="8"/>
        <rFont val="Arial"/>
        <family val="2"/>
      </rPr>
      <t xml:space="preserve"> The Land Storage pricing provided herein includes storage through May 31, 2023 only.  If your boat and/or trailer is left with us beyond this date you will be charged monthly summer storage at the Marina's then current rates.</t>
    </r>
  </si>
  <si>
    <t>Insurance Co</t>
  </si>
  <si>
    <t>Policy #</t>
  </si>
  <si>
    <t>Policy Number</t>
  </si>
  <si>
    <t>To</t>
  </si>
  <si>
    <t>Crate's Lake Country Boats</t>
  </si>
  <si>
    <t xml:space="preserve">Fax Number                           </t>
  </si>
  <si>
    <t>Attention</t>
  </si>
  <si>
    <t>Date (yyyy/mm/dd)</t>
  </si>
  <si>
    <t>Name as it Appears on Credit Card</t>
  </si>
  <si>
    <t>City</t>
  </si>
  <si>
    <t>Province</t>
  </si>
  <si>
    <t>Postal Code</t>
  </si>
  <si>
    <t>Phone</t>
  </si>
  <si>
    <t>Fax</t>
  </si>
  <si>
    <t>I,</t>
  </si>
  <si>
    <t>VISA</t>
  </si>
  <si>
    <t>Mastercard</t>
  </si>
  <si>
    <t>Expiry Date (mm/yy)</t>
  </si>
  <si>
    <t>3 Digit CCV Security Code</t>
  </si>
  <si>
    <t>Charge Description / Invoice Number</t>
  </si>
  <si>
    <t>Amount</t>
  </si>
  <si>
    <t>$</t>
  </si>
  <si>
    <t>Total Authorized Charges</t>
  </si>
  <si>
    <t>IMPORTANT - For security reasons, please DO NOT email any credit card information to us</t>
  </si>
  <si>
    <t>V1.03 20090620</t>
  </si>
  <si>
    <t>CREDIT CARD AUTHORIZATION FORM</t>
  </si>
  <si>
    <t>Service Department</t>
  </si>
  <si>
    <t>705-327-7036</t>
  </si>
  <si>
    <t>Credit Card Number</t>
  </si>
  <si>
    <t>to charge my:</t>
  </si>
  <si>
    <t>Estimated Winterizing Labour (including tax)</t>
  </si>
  <si>
    <t>Winterization Parts Extra - TBD</t>
  </si>
  <si>
    <t xml:space="preserve">Street Address </t>
  </si>
  <si>
    <t xml:space="preserve"> Crate's Lake Country Boats Inc.</t>
  </si>
  <si>
    <t>hereby authorize</t>
  </si>
  <si>
    <t>Volvo Surf</t>
  </si>
  <si>
    <t>Volvo SX, DP, Surf</t>
  </si>
  <si>
    <t>Sea Keeper</t>
  </si>
  <si>
    <t>Windshield Washer</t>
  </si>
  <si>
    <t>Mercury Bravo I, II, III</t>
  </si>
  <si>
    <t>Expiry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</si>
</sst>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0"/>
    <numFmt numFmtId="165" formatCode="_-* #,##0.0_-;\-* #,##0.0_-;_-* &quot;-&quot;?_-;_-@_-"/>
    <numFmt numFmtId="166" formatCode="0.0_ ;\-0.0\ "/>
  </numFmts>
  <fonts count="34" x14ac:knownFonts="1">
    <font>
      <sz val="10"/>
      <name val="Arial"/>
    </font>
    <font>
      <sz val="10"/>
      <name val="Arial"/>
      <family val="2"/>
    </font>
    <font>
      <sz val="8"/>
      <name val="Arial"/>
      <family val="2"/>
    </font>
    <font>
      <sz val="8"/>
      <color indexed="8"/>
      <name val="Arial"/>
      <family val="2"/>
    </font>
    <font>
      <b/>
      <sz val="8"/>
      <name val="Arial"/>
      <family val="2"/>
    </font>
    <font>
      <b/>
      <sz val="8"/>
      <name val="Arial"/>
      <family val="2"/>
    </font>
    <font>
      <sz val="8"/>
      <name val="Arial"/>
      <family val="2"/>
    </font>
    <font>
      <b/>
      <sz val="8"/>
      <color indexed="8"/>
      <name val="Arial"/>
      <family val="2"/>
    </font>
    <font>
      <sz val="8"/>
      <color indexed="8"/>
      <name val="Arial"/>
      <family val="2"/>
    </font>
    <font>
      <sz val="6"/>
      <name val="Arial"/>
      <family val="2"/>
    </font>
    <font>
      <sz val="6"/>
      <color indexed="8"/>
      <name val="Arial"/>
      <family val="2"/>
    </font>
    <font>
      <sz val="7"/>
      <name val="Arial"/>
      <family val="2"/>
    </font>
    <font>
      <b/>
      <sz val="12"/>
      <color indexed="8"/>
      <name val="Tahoma"/>
      <family val="2"/>
    </font>
    <font>
      <b/>
      <sz val="7"/>
      <name val="Arial"/>
      <family val="2"/>
    </font>
    <font>
      <sz val="7"/>
      <name val="Arial"/>
      <family val="2"/>
    </font>
    <font>
      <b/>
      <sz val="12"/>
      <name val="Tahoma"/>
      <family val="2"/>
    </font>
    <font>
      <sz val="7"/>
      <color indexed="8"/>
      <name val="Arial"/>
      <family val="2"/>
    </font>
    <font>
      <b/>
      <sz val="7"/>
      <color indexed="8"/>
      <name val="Arial"/>
      <family val="2"/>
    </font>
    <font>
      <sz val="10"/>
      <color theme="1"/>
      <name val="Arial"/>
      <family val="2"/>
    </font>
    <font>
      <sz val="7.5"/>
      <name val="Arial"/>
      <family val="2"/>
    </font>
    <font>
      <b/>
      <sz val="8"/>
      <color theme="0"/>
      <name val="Arial"/>
      <family val="2"/>
    </font>
    <font>
      <sz val="8"/>
      <color theme="0"/>
      <name val="Arial"/>
      <family val="2"/>
    </font>
    <font>
      <b/>
      <sz val="9"/>
      <color theme="0"/>
      <name val="Arial"/>
      <family val="2"/>
    </font>
    <font>
      <sz val="9"/>
      <color theme="0"/>
      <name val="Arial"/>
      <family val="2"/>
    </font>
    <font>
      <b/>
      <sz val="7.5"/>
      <name val="Arial"/>
      <family val="2"/>
    </font>
    <font>
      <b/>
      <sz val="12"/>
      <color theme="1"/>
      <name val="Tahoma"/>
      <family val="2"/>
    </font>
    <font>
      <sz val="8"/>
      <color theme="1"/>
      <name val="Arial"/>
      <family val="2"/>
    </font>
    <font>
      <sz val="10"/>
      <name val="Arial"/>
      <family val="2"/>
    </font>
    <font>
      <b/>
      <sz val="14"/>
      <name val="Arial"/>
      <family val="2"/>
    </font>
    <font>
      <b/>
      <sz val="9"/>
      <name val="Arial"/>
      <family val="2"/>
    </font>
    <font>
      <b/>
      <sz val="12"/>
      <name val="Arial"/>
      <family val="2"/>
    </font>
    <font>
      <sz val="9"/>
      <name val="Arial"/>
      <family val="2"/>
    </font>
    <font>
      <sz val="12"/>
      <name val="Arial"/>
      <family val="2"/>
    </font>
    <font>
      <b/>
      <sz val="10"/>
      <name val="Arial"/>
      <family val="2"/>
    </font>
  </fonts>
  <fills count="7">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22"/>
        <bgColor indexed="64"/>
      </patternFill>
    </fill>
    <fill>
      <patternFill patternType="solid">
        <fgColor theme="0"/>
        <bgColor indexed="64"/>
      </patternFill>
    </fill>
    <fill>
      <patternFill patternType="solid">
        <fgColor theme="1" tint="0.14999847407452621"/>
        <bgColor indexed="64"/>
      </patternFill>
    </fill>
  </fills>
  <borders count="26">
    <border>
      <left/>
      <right/>
      <top/>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22"/>
      </bottom>
      <diagonal/>
    </border>
    <border>
      <left/>
      <right/>
      <top style="thin">
        <color indexed="22"/>
      </top>
      <bottom style="thin">
        <color indexed="22"/>
      </bottom>
      <diagonal/>
    </border>
    <border>
      <left/>
      <right/>
      <top/>
      <bottom style="thin">
        <color indexed="64"/>
      </bottom>
      <diagonal/>
    </border>
    <border>
      <left/>
      <right/>
      <top style="thin">
        <color indexed="64"/>
      </top>
      <bottom style="medium">
        <color indexed="64"/>
      </bottom>
      <diagonal/>
    </border>
    <border>
      <left/>
      <right/>
      <top style="thin">
        <color indexed="64"/>
      </top>
      <bottom/>
      <diagonal/>
    </border>
    <border>
      <left/>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22"/>
      </top>
      <bottom/>
      <diagonal/>
    </border>
    <border>
      <left/>
      <right/>
      <top style="thin">
        <color theme="0" tint="-0.14996795556505021"/>
      </top>
      <bottom style="thin">
        <color theme="0" tint="-0.14996795556505021"/>
      </bottom>
      <diagonal/>
    </border>
    <border>
      <left/>
      <right/>
      <top style="thin">
        <color rgb="FFC0C0C0"/>
      </top>
      <bottom style="thin">
        <color theme="1"/>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ck">
        <color indexed="64"/>
      </bottom>
      <diagonal/>
    </border>
    <border>
      <left/>
      <right/>
      <top style="medium">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43" fontId="27" fillId="0" borderId="0" applyFont="0" applyFill="0" applyBorder="0" applyAlignment="0" applyProtection="0"/>
  </cellStyleXfs>
  <cellXfs count="290">
    <xf numFmtId="0" fontId="0" fillId="0" borderId="0" xfId="0"/>
    <xf numFmtId="0" fontId="2" fillId="0" borderId="0" xfId="0" applyFont="1"/>
    <xf numFmtId="0" fontId="5" fillId="0" borderId="0" xfId="0" applyFont="1"/>
    <xf numFmtId="0" fontId="6" fillId="0" borderId="0" xfId="0" applyFont="1"/>
    <xf numFmtId="0" fontId="6" fillId="0" borderId="0" xfId="0" applyFont="1" applyAlignment="1">
      <alignment horizontal="left"/>
    </xf>
    <xf numFmtId="0" fontId="8" fillId="0" borderId="0" xfId="0" applyFont="1" applyAlignment="1" applyProtection="1">
      <alignment horizontal="left"/>
      <protection locked="0"/>
    </xf>
    <xf numFmtId="0" fontId="2" fillId="0" borderId="0" xfId="0" applyFont="1" applyAlignment="1">
      <alignment horizontal="left"/>
    </xf>
    <xf numFmtId="0" fontId="2" fillId="0" borderId="0" xfId="0" applyFont="1" applyAlignment="1" applyProtection="1">
      <alignment horizontal="left"/>
      <protection locked="0"/>
    </xf>
    <xf numFmtId="0" fontId="6" fillId="0" borderId="0" xfId="0" applyFont="1" applyAlignment="1" applyProtection="1">
      <alignment horizontal="left"/>
      <protection locked="0"/>
    </xf>
    <xf numFmtId="0" fontId="0" fillId="5" borderId="0" xfId="0" applyFill="1"/>
    <xf numFmtId="0" fontId="2" fillId="5" borderId="0" xfId="0" applyFont="1" applyFill="1"/>
    <xf numFmtId="0" fontId="13" fillId="5" borderId="0" xfId="0" applyFont="1" applyFill="1"/>
    <xf numFmtId="0" fontId="0" fillId="5" borderId="0" xfId="0" applyFill="1" applyProtection="1">
      <protection locked="0"/>
    </xf>
    <xf numFmtId="165" fontId="2" fillId="5" borderId="0" xfId="1" applyNumberFormat="1" applyFont="1" applyFill="1" applyBorder="1" applyAlignment="1" applyProtection="1">
      <alignment horizontal="center"/>
      <protection locked="0"/>
    </xf>
    <xf numFmtId="0" fontId="2" fillId="5" borderId="0" xfId="0" applyFont="1" applyFill="1" applyAlignment="1">
      <alignment horizontal="center"/>
    </xf>
    <xf numFmtId="0" fontId="2" fillId="5" borderId="0" xfId="0" applyFont="1" applyFill="1" applyProtection="1">
      <protection locked="0"/>
    </xf>
    <xf numFmtId="0" fontId="11" fillId="5" borderId="0" xfId="0" applyFont="1" applyFill="1"/>
    <xf numFmtId="0" fontId="2" fillId="5" borderId="18" xfId="0" applyFont="1" applyFill="1" applyBorder="1"/>
    <xf numFmtId="0" fontId="11" fillId="5" borderId="18" xfId="0" applyFont="1" applyFill="1" applyBorder="1"/>
    <xf numFmtId="0" fontId="2" fillId="5" borderId="18" xfId="0" applyFont="1" applyFill="1" applyBorder="1" applyAlignment="1">
      <alignment horizontal="center"/>
    </xf>
    <xf numFmtId="0" fontId="22" fillId="6" borderId="0" xfId="0" applyFont="1" applyFill="1"/>
    <xf numFmtId="0" fontId="23" fillId="6" borderId="0" xfId="0" applyFont="1" applyFill="1"/>
    <xf numFmtId="0" fontId="22" fillId="6" borderId="0" xfId="0" applyFont="1" applyFill="1" applyAlignment="1">
      <alignment horizontal="center"/>
    </xf>
    <xf numFmtId="0" fontId="20" fillId="6" borderId="0" xfId="0" applyFont="1" applyFill="1"/>
    <xf numFmtId="0" fontId="21" fillId="6" borderId="0" xfId="0" applyFont="1" applyFill="1"/>
    <xf numFmtId="0" fontId="22" fillId="6" borderId="0" xfId="0" applyFont="1" applyFill="1" applyAlignment="1">
      <alignment horizontal="left"/>
    </xf>
    <xf numFmtId="0" fontId="20" fillId="6" borderId="0" xfId="0" applyFont="1" applyFill="1" applyAlignment="1">
      <alignment horizontal="left"/>
    </xf>
    <xf numFmtId="43" fontId="2" fillId="0" borderId="0" xfId="2" applyFont="1"/>
    <xf numFmtId="2" fontId="2" fillId="0" borderId="0" xfId="0" applyNumberFormat="1" applyFont="1"/>
    <xf numFmtId="2" fontId="4" fillId="0" borderId="0" xfId="0" applyNumberFormat="1" applyFont="1" applyAlignment="1">
      <alignment horizontal="center"/>
    </xf>
    <xf numFmtId="0" fontId="4" fillId="5" borderId="7" xfId="0" applyFont="1" applyFill="1" applyBorder="1" applyAlignment="1">
      <alignment horizontal="left"/>
    </xf>
    <xf numFmtId="0" fontId="4" fillId="5" borderId="8" xfId="0" applyFont="1" applyFill="1" applyBorder="1"/>
    <xf numFmtId="0" fontId="7" fillId="5" borderId="7" xfId="0" applyFont="1" applyFill="1" applyBorder="1" applyAlignment="1">
      <alignment horizontal="left"/>
    </xf>
    <xf numFmtId="0" fontId="5" fillId="5" borderId="7" xfId="0" applyFont="1" applyFill="1" applyBorder="1"/>
    <xf numFmtId="164" fontId="8" fillId="5" borderId="7" xfId="0" applyNumberFormat="1" applyFont="1" applyFill="1" applyBorder="1" applyAlignment="1" applyProtection="1">
      <alignment horizontal="left" wrapText="1"/>
      <protection locked="0"/>
    </xf>
    <xf numFmtId="0" fontId="9" fillId="5" borderId="7" xfId="0" applyFont="1" applyFill="1" applyBorder="1" applyAlignment="1">
      <alignment horizontal="left"/>
    </xf>
    <xf numFmtId="0" fontId="7" fillId="5" borderId="7" xfId="0" applyFont="1" applyFill="1" applyBorder="1"/>
    <xf numFmtId="0" fontId="3" fillId="5" borderId="7" xfId="0" applyFont="1" applyFill="1" applyBorder="1"/>
    <xf numFmtId="0" fontId="7" fillId="5" borderId="8" xfId="0" applyFont="1" applyFill="1" applyBorder="1" applyAlignment="1">
      <alignment horizontal="left"/>
    </xf>
    <xf numFmtId="0" fontId="5" fillId="5" borderId="8" xfId="0" applyFont="1" applyFill="1" applyBorder="1"/>
    <xf numFmtId="166" fontId="6" fillId="5" borderId="8" xfId="0" applyNumberFormat="1" applyFont="1" applyFill="1" applyBorder="1" applyAlignment="1" applyProtection="1">
      <alignment horizontal="left"/>
      <protection locked="0"/>
    </xf>
    <xf numFmtId="0" fontId="9" fillId="5" borderId="8" xfId="0" applyFont="1" applyFill="1" applyBorder="1" applyAlignment="1">
      <alignment horizontal="left"/>
    </xf>
    <xf numFmtId="0" fontId="2" fillId="5" borderId="8" xfId="0" applyFont="1" applyFill="1" applyBorder="1"/>
    <xf numFmtId="1" fontId="6" fillId="5" borderId="8" xfId="0" applyNumberFormat="1" applyFont="1" applyFill="1" applyBorder="1" applyAlignment="1" applyProtection="1">
      <alignment horizontal="left"/>
      <protection locked="0"/>
    </xf>
    <xf numFmtId="0" fontId="7" fillId="5" borderId="8" xfId="0" applyFont="1" applyFill="1" applyBorder="1"/>
    <xf numFmtId="3" fontId="6" fillId="5" borderId="8" xfId="0" applyNumberFormat="1" applyFont="1" applyFill="1" applyBorder="1" applyAlignment="1" applyProtection="1">
      <alignment horizontal="left"/>
      <protection locked="0"/>
    </xf>
    <xf numFmtId="0" fontId="10" fillId="5" borderId="8" xfId="0" applyFont="1" applyFill="1" applyBorder="1" applyAlignment="1">
      <alignment horizontal="left"/>
    </xf>
    <xf numFmtId="0" fontId="2" fillId="5" borderId="8" xfId="0" applyFont="1" applyFill="1" applyBorder="1" applyAlignment="1">
      <alignment horizontal="left"/>
    </xf>
    <xf numFmtId="0" fontId="3" fillId="5" borderId="8" xfId="0" applyFont="1" applyFill="1" applyBorder="1"/>
    <xf numFmtId="0" fontId="7" fillId="5" borderId="17" xfId="0" applyFont="1" applyFill="1" applyBorder="1" applyAlignment="1">
      <alignment horizontal="left"/>
    </xf>
    <xf numFmtId="0" fontId="5" fillId="5" borderId="17" xfId="0" applyFont="1" applyFill="1" applyBorder="1"/>
    <xf numFmtId="0" fontId="4" fillId="5" borderId="9" xfId="0" applyFont="1" applyFill="1" applyBorder="1" applyAlignment="1">
      <alignment horizontal="center"/>
    </xf>
    <xf numFmtId="0" fontId="2" fillId="5" borderId="9" xfId="0" applyFont="1" applyFill="1" applyBorder="1"/>
    <xf numFmtId="0" fontId="13" fillId="5" borderId="9" xfId="0" applyFont="1" applyFill="1" applyBorder="1" applyAlignment="1">
      <alignment horizontal="right"/>
    </xf>
    <xf numFmtId="44" fontId="4" fillId="5" borderId="9" xfId="1" applyFont="1" applyFill="1" applyBorder="1" applyAlignment="1" applyProtection="1">
      <alignment horizontal="right"/>
    </xf>
    <xf numFmtId="165" fontId="2" fillId="5" borderId="0" xfId="1" applyNumberFormat="1" applyFont="1" applyFill="1" applyAlignment="1" applyProtection="1">
      <alignment horizontal="center"/>
    </xf>
    <xf numFmtId="44" fontId="2" fillId="5" borderId="0" xfId="1" applyFont="1" applyFill="1" applyProtection="1"/>
    <xf numFmtId="44" fontId="2" fillId="5" borderId="0" xfId="1" applyFont="1" applyFill="1" applyAlignment="1" applyProtection="1">
      <alignment horizontal="right"/>
    </xf>
    <xf numFmtId="165" fontId="2" fillId="5" borderId="18" xfId="1" applyNumberFormat="1" applyFont="1" applyFill="1" applyBorder="1" applyAlignment="1" applyProtection="1">
      <alignment horizontal="center"/>
    </xf>
    <xf numFmtId="44" fontId="2" fillId="5" borderId="18" xfId="1" applyFont="1" applyFill="1" applyBorder="1" applyProtection="1"/>
    <xf numFmtId="44" fontId="2" fillId="5" borderId="18" xfId="1" applyFont="1" applyFill="1" applyBorder="1" applyAlignment="1" applyProtection="1">
      <alignment horizontal="right"/>
    </xf>
    <xf numFmtId="0" fontId="14" fillId="5" borderId="0" xfId="0" applyFont="1" applyFill="1"/>
    <xf numFmtId="43" fontId="2" fillId="5" borderId="0" xfId="2" applyFont="1" applyFill="1"/>
    <xf numFmtId="2" fontId="2" fillId="5" borderId="0" xfId="0" applyNumberFormat="1" applyFont="1" applyFill="1"/>
    <xf numFmtId="0" fontId="3" fillId="5" borderId="0" xfId="0" applyFont="1" applyFill="1" applyAlignment="1" applyProtection="1">
      <alignment horizontal="left" vertical="center"/>
      <protection locked="0"/>
    </xf>
    <xf numFmtId="3" fontId="4" fillId="5" borderId="0" xfId="0" applyNumberFormat="1" applyFont="1" applyFill="1" applyAlignment="1">
      <alignment horizontal="left"/>
    </xf>
    <xf numFmtId="44" fontId="2" fillId="5" borderId="0" xfId="0" applyNumberFormat="1" applyFont="1" applyFill="1"/>
    <xf numFmtId="44" fontId="2" fillId="5" borderId="18" xfId="0" applyNumberFormat="1" applyFont="1" applyFill="1" applyBorder="1"/>
    <xf numFmtId="44" fontId="4" fillId="5" borderId="9" xfId="0" applyNumberFormat="1" applyFont="1" applyFill="1" applyBorder="1"/>
    <xf numFmtId="165" fontId="2" fillId="5" borderId="0" xfId="0" applyNumberFormat="1" applyFont="1" applyFill="1" applyAlignment="1">
      <alignment horizontal="center"/>
    </xf>
    <xf numFmtId="165" fontId="2" fillId="5" borderId="18" xfId="0" applyNumberFormat="1" applyFont="1" applyFill="1" applyBorder="1" applyAlignment="1">
      <alignment horizontal="center"/>
    </xf>
    <xf numFmtId="165" fontId="2" fillId="5" borderId="18" xfId="0" applyNumberFormat="1" applyFont="1" applyFill="1" applyBorder="1" applyAlignment="1" applyProtection="1">
      <alignment horizontal="center"/>
      <protection locked="0"/>
    </xf>
    <xf numFmtId="0" fontId="4" fillId="5" borderId="9" xfId="0" applyFont="1" applyFill="1" applyBorder="1"/>
    <xf numFmtId="0" fontId="5" fillId="5" borderId="15" xfId="0" applyFont="1" applyFill="1" applyBorder="1" applyAlignment="1">
      <alignment horizontal="center"/>
    </xf>
    <xf numFmtId="0" fontId="5" fillId="5" borderId="11" xfId="0" applyFont="1" applyFill="1" applyBorder="1" applyAlignment="1">
      <alignment horizontal="center"/>
    </xf>
    <xf numFmtId="0" fontId="5" fillId="5" borderId="16" xfId="0" applyFont="1" applyFill="1" applyBorder="1" applyAlignment="1">
      <alignment horizontal="center"/>
    </xf>
    <xf numFmtId="165" fontId="2" fillId="5" borderId="0" xfId="0" applyNumberFormat="1" applyFont="1" applyFill="1"/>
    <xf numFmtId="165" fontId="2" fillId="5" borderId="18" xfId="0" applyNumberFormat="1" applyFont="1" applyFill="1" applyBorder="1"/>
    <xf numFmtId="44" fontId="2" fillId="5" borderId="18" xfId="0" applyNumberFormat="1" applyFont="1" applyFill="1" applyBorder="1" applyAlignment="1">
      <alignment horizontal="center"/>
    </xf>
    <xf numFmtId="0" fontId="11" fillId="5" borderId="1" xfId="0" applyFont="1" applyFill="1" applyBorder="1"/>
    <xf numFmtId="0" fontId="5" fillId="5" borderId="0" xfId="0" applyFont="1" applyFill="1"/>
    <xf numFmtId="44" fontId="2" fillId="5" borderId="1" xfId="1" applyFont="1" applyFill="1" applyBorder="1"/>
    <xf numFmtId="44" fontId="6" fillId="5" borderId="1" xfId="1" applyFont="1" applyFill="1" applyBorder="1" applyAlignment="1">
      <alignment horizontal="left" wrapText="1"/>
    </xf>
    <xf numFmtId="44" fontId="6" fillId="5" borderId="1" xfId="1" applyFont="1" applyFill="1" applyBorder="1" applyAlignment="1">
      <alignment horizontal="center" wrapText="1"/>
    </xf>
    <xf numFmtId="0" fontId="11" fillId="5" borderId="1" xfId="0" applyFont="1" applyFill="1" applyBorder="1" applyAlignment="1">
      <alignment horizontal="center" wrapText="1"/>
    </xf>
    <xf numFmtId="0" fontId="2" fillId="5" borderId="1" xfId="0" applyFont="1" applyFill="1" applyBorder="1" applyAlignment="1">
      <alignment horizontal="center" wrapText="1"/>
    </xf>
    <xf numFmtId="0" fontId="2" fillId="5" borderId="1" xfId="0" applyFont="1" applyFill="1" applyBorder="1"/>
    <xf numFmtId="0" fontId="2" fillId="5" borderId="3" xfId="0" applyFont="1" applyFill="1" applyBorder="1"/>
    <xf numFmtId="0" fontId="2" fillId="5" borderId="2" xfId="0" applyFont="1" applyFill="1" applyBorder="1"/>
    <xf numFmtId="44" fontId="2" fillId="5" borderId="1" xfId="1" applyFont="1" applyFill="1" applyBorder="1" applyAlignment="1">
      <alignment horizontal="center" wrapText="1"/>
    </xf>
    <xf numFmtId="44" fontId="2" fillId="5" borderId="1" xfId="0" applyNumberFormat="1" applyFont="1" applyFill="1" applyBorder="1"/>
    <xf numFmtId="44" fontId="2" fillId="5" borderId="3" xfId="0" applyNumberFormat="1" applyFont="1" applyFill="1" applyBorder="1"/>
    <xf numFmtId="0" fontId="2" fillId="5" borderId="0" xfId="0" applyFont="1" applyFill="1" applyAlignment="1">
      <alignment horizontal="left" wrapText="1"/>
    </xf>
    <xf numFmtId="0" fontId="2" fillId="5" borderId="0" xfId="0" applyFont="1" applyFill="1" applyAlignment="1">
      <alignment vertical="center" wrapText="1"/>
    </xf>
    <xf numFmtId="0" fontId="0" fillId="5" borderId="0" xfId="0" applyFill="1" applyAlignment="1">
      <alignment vertical="center" wrapText="1"/>
    </xf>
    <xf numFmtId="0" fontId="5" fillId="5" borderId="4" xfId="0" applyFont="1" applyFill="1" applyBorder="1"/>
    <xf numFmtId="0" fontId="5" fillId="5" borderId="5" xfId="0" applyFont="1" applyFill="1" applyBorder="1"/>
    <xf numFmtId="0" fontId="5" fillId="5" borderId="6" xfId="0" applyFont="1" applyFill="1" applyBorder="1"/>
    <xf numFmtId="165" fontId="2" fillId="5" borderId="11" xfId="0" applyNumberFormat="1" applyFont="1" applyFill="1" applyBorder="1"/>
    <xf numFmtId="44" fontId="2" fillId="5" borderId="11" xfId="0" applyNumberFormat="1" applyFont="1" applyFill="1" applyBorder="1"/>
    <xf numFmtId="0" fontId="11" fillId="5" borderId="1" xfId="0" applyFont="1" applyFill="1" applyBorder="1" applyAlignment="1">
      <alignment horizontal="center"/>
    </xf>
    <xf numFmtId="0" fontId="0" fillId="5" borderId="0" xfId="0" applyFill="1" applyAlignment="1">
      <alignment wrapText="1"/>
    </xf>
    <xf numFmtId="0" fontId="6" fillId="5" borderId="1" xfId="0" applyFont="1" applyFill="1" applyBorder="1" applyAlignment="1">
      <alignment horizontal="center" wrapText="1"/>
    </xf>
    <xf numFmtId="0" fontId="2" fillId="5" borderId="0" xfId="0" applyFont="1" applyFill="1" applyAlignment="1">
      <alignment wrapText="1"/>
    </xf>
    <xf numFmtId="0" fontId="5" fillId="5" borderId="4" xfId="0" applyFont="1" applyFill="1" applyBorder="1" applyAlignment="1">
      <alignment horizontal="center"/>
    </xf>
    <xf numFmtId="0" fontId="5" fillId="5" borderId="5" xfId="0" applyFont="1" applyFill="1" applyBorder="1" applyAlignment="1">
      <alignment horizontal="center"/>
    </xf>
    <xf numFmtId="0" fontId="5" fillId="5" borderId="6" xfId="0" applyFont="1" applyFill="1" applyBorder="1" applyAlignment="1">
      <alignment horizontal="center"/>
    </xf>
    <xf numFmtId="165" fontId="2" fillId="5" borderId="0" xfId="0" applyNumberFormat="1" applyFont="1" applyFill="1" applyAlignment="1">
      <alignment horizontal="right"/>
    </xf>
    <xf numFmtId="165" fontId="2" fillId="5" borderId="18" xfId="0" applyNumberFormat="1" applyFont="1" applyFill="1" applyBorder="1" applyAlignment="1">
      <alignment horizontal="right"/>
    </xf>
    <xf numFmtId="0" fontId="2" fillId="5" borderId="0" xfId="0" applyFont="1" applyFill="1" applyAlignment="1">
      <alignment horizontal="center" wrapText="1"/>
    </xf>
    <xf numFmtId="44" fontId="2" fillId="5" borderId="0" xfId="1" applyFont="1" applyFill="1"/>
    <xf numFmtId="165" fontId="2" fillId="5" borderId="18" xfId="0" applyNumberFormat="1" applyFont="1" applyFill="1" applyBorder="1" applyProtection="1">
      <protection locked="0"/>
    </xf>
    <xf numFmtId="0" fontId="24" fillId="5" borderId="0" xfId="0" applyFont="1" applyFill="1" applyAlignment="1">
      <alignment vertical="center" wrapText="1"/>
    </xf>
    <xf numFmtId="0" fontId="2" fillId="5" borderId="0" xfId="0" applyFont="1" applyFill="1" applyAlignment="1">
      <alignment horizontal="right"/>
    </xf>
    <xf numFmtId="0" fontId="19" fillId="5" borderId="0" xfId="0" applyFont="1" applyFill="1" applyAlignment="1">
      <alignment vertical="top" wrapText="1"/>
    </xf>
    <xf numFmtId="44" fontId="2" fillId="5" borderId="0" xfId="0" applyNumberFormat="1" applyFont="1" applyFill="1" applyProtection="1">
      <protection locked="0"/>
    </xf>
    <xf numFmtId="0" fontId="19" fillId="5" borderId="0" xfId="0" applyFont="1" applyFill="1" applyAlignment="1">
      <alignment horizontal="justify" vertical="top" wrapText="1"/>
    </xf>
    <xf numFmtId="0" fontId="4" fillId="5" borderId="0" xfId="0" applyFont="1" applyFill="1" applyAlignment="1">
      <alignment horizontal="right"/>
    </xf>
    <xf numFmtId="44" fontId="5" fillId="5" borderId="10" xfId="0" applyNumberFormat="1" applyFont="1" applyFill="1" applyBorder="1"/>
    <xf numFmtId="0" fontId="19" fillId="5" borderId="0" xfId="0" applyFont="1" applyFill="1" applyAlignment="1">
      <alignment horizontal="justify" wrapText="1"/>
    </xf>
    <xf numFmtId="49" fontId="17" fillId="5" borderId="7" xfId="0" applyNumberFormat="1" applyFont="1" applyFill="1" applyBorder="1" applyAlignment="1">
      <alignment horizontal="left"/>
    </xf>
    <xf numFmtId="49" fontId="13" fillId="5" borderId="7" xfId="0" applyNumberFormat="1" applyFont="1" applyFill="1" applyBorder="1" applyAlignment="1">
      <alignment horizontal="left"/>
    </xf>
    <xf numFmtId="49" fontId="13" fillId="5" borderId="8" xfId="0" applyNumberFormat="1" applyFont="1" applyFill="1" applyBorder="1" applyAlignment="1">
      <alignment horizontal="left"/>
    </xf>
    <xf numFmtId="49" fontId="17" fillId="5" borderId="8" xfId="0" applyNumberFormat="1" applyFont="1" applyFill="1" applyBorder="1" applyAlignment="1">
      <alignment horizontal="left"/>
    </xf>
    <xf numFmtId="0" fontId="17" fillId="5" borderId="8" xfId="0" applyFont="1" applyFill="1" applyBorder="1" applyAlignment="1">
      <alignment horizontal="left"/>
    </xf>
    <xf numFmtId="0" fontId="17" fillId="5" borderId="17" xfId="0" applyFont="1" applyFill="1" applyBorder="1" applyAlignment="1">
      <alignment horizontal="left"/>
    </xf>
    <xf numFmtId="0" fontId="17" fillId="5" borderId="19" xfId="0" applyFont="1" applyFill="1" applyBorder="1" applyAlignment="1">
      <alignment horizontal="left"/>
    </xf>
    <xf numFmtId="0" fontId="16" fillId="5" borderId="0" xfId="0" applyFont="1" applyFill="1" applyAlignment="1">
      <alignment horizontal="center"/>
    </xf>
    <xf numFmtId="0" fontId="14" fillId="5" borderId="9" xfId="0" applyFont="1" applyFill="1" applyBorder="1"/>
    <xf numFmtId="0" fontId="11" fillId="5" borderId="9" xfId="0" applyFont="1" applyFill="1" applyBorder="1" applyAlignment="1">
      <alignment horizontal="left"/>
    </xf>
    <xf numFmtId="0" fontId="16" fillId="5" borderId="0" xfId="0" applyFont="1" applyFill="1"/>
    <xf numFmtId="0" fontId="17" fillId="5" borderId="0" xfId="0" applyFont="1" applyFill="1"/>
    <xf numFmtId="0" fontId="16" fillId="5" borderId="0" xfId="0" applyFont="1" applyFill="1" applyAlignment="1">
      <alignment horizontal="left"/>
    </xf>
    <xf numFmtId="0" fontId="16" fillId="5" borderId="0" xfId="0" applyFont="1" applyFill="1" applyAlignment="1">
      <alignment horizontal="right"/>
    </xf>
    <xf numFmtId="0" fontId="29" fillId="5" borderId="0" xfId="0" applyFont="1" applyFill="1"/>
    <xf numFmtId="0" fontId="30" fillId="5" borderId="9" xfId="0" applyFont="1" applyFill="1" applyBorder="1"/>
    <xf numFmtId="0" fontId="31" fillId="5" borderId="0" xfId="0" applyFont="1" applyFill="1"/>
    <xf numFmtId="0" fontId="30" fillId="5" borderId="0" xfId="0" applyFont="1" applyFill="1" applyAlignment="1">
      <alignment horizontal="left"/>
    </xf>
    <xf numFmtId="0" fontId="30" fillId="5" borderId="0" xfId="0" applyFont="1" applyFill="1"/>
    <xf numFmtId="0" fontId="29" fillId="5" borderId="0" xfId="0" applyFont="1" applyFill="1" applyAlignment="1">
      <alignment horizontal="left"/>
    </xf>
    <xf numFmtId="0" fontId="33" fillId="5" borderId="0" xfId="0" applyFont="1" applyFill="1" applyAlignment="1">
      <alignment horizontal="right"/>
    </xf>
    <xf numFmtId="0" fontId="16" fillId="5" borderId="7" xfId="0" applyFont="1" applyFill="1" applyBorder="1" applyAlignment="1">
      <alignment horizontal="left"/>
    </xf>
    <xf numFmtId="0" fontId="14" fillId="5" borderId="8" xfId="0" applyFont="1" applyFill="1" applyBorder="1" applyAlignment="1" applyProtection="1">
      <alignment horizontal="left"/>
      <protection locked="0"/>
    </xf>
    <xf numFmtId="0" fontId="16" fillId="5" borderId="8" xfId="0" applyFont="1" applyFill="1" applyBorder="1" applyAlignment="1">
      <alignment horizontal="left"/>
    </xf>
    <xf numFmtId="0" fontId="14" fillId="5" borderId="9" xfId="0" applyFont="1" applyFill="1" applyBorder="1" applyAlignment="1">
      <alignment horizontal="left"/>
    </xf>
    <xf numFmtId="0" fontId="17" fillId="5" borderId="9" xfId="0" applyFont="1" applyFill="1" applyBorder="1" applyAlignment="1">
      <alignment horizontal="left"/>
    </xf>
    <xf numFmtId="0" fontId="16" fillId="5" borderId="17" xfId="0" applyFont="1" applyFill="1" applyBorder="1" applyAlignment="1">
      <alignment horizontal="left"/>
    </xf>
    <xf numFmtId="0" fontId="16" fillId="5" borderId="0" xfId="0" applyFont="1" applyFill="1" applyAlignment="1">
      <alignment horizontal="center" vertical="top" wrapText="1"/>
    </xf>
    <xf numFmtId="0" fontId="14" fillId="5" borderId="0" xfId="0" applyFont="1" applyFill="1" applyAlignment="1">
      <alignment horizontal="center" vertical="top" wrapText="1"/>
    </xf>
    <xf numFmtId="0" fontId="17" fillId="5" borderId="0" xfId="0" applyFont="1" applyFill="1" applyAlignment="1">
      <alignment horizontal="justify" vertical="top" wrapText="1"/>
    </xf>
    <xf numFmtId="0" fontId="14" fillId="5" borderId="0" xfId="0" applyFont="1" applyFill="1" applyAlignment="1">
      <alignment horizontal="justify" vertical="top" wrapText="1"/>
    </xf>
    <xf numFmtId="0" fontId="16" fillId="5" borderId="0" xfId="0" applyFont="1" applyFill="1" applyAlignment="1">
      <alignment horizontal="right"/>
    </xf>
    <xf numFmtId="0" fontId="13" fillId="5" borderId="9" xfId="0" applyFont="1" applyFill="1" applyBorder="1" applyAlignment="1">
      <alignment horizontal="center"/>
    </xf>
    <xf numFmtId="0" fontId="17" fillId="4" borderId="0" xfId="0" applyFont="1" applyFill="1" applyAlignment="1">
      <alignment horizontal="center" vertical="top" wrapText="1"/>
    </xf>
    <xf numFmtId="0" fontId="14" fillId="0" borderId="0" xfId="0" applyFont="1" applyAlignment="1">
      <alignment horizontal="center" vertical="top" wrapText="1"/>
    </xf>
    <xf numFmtId="0" fontId="17" fillId="5" borderId="0" xfId="0" applyFont="1" applyFill="1" applyAlignment="1">
      <alignment horizontal="center" vertical="top" wrapText="1"/>
    </xf>
    <xf numFmtId="0" fontId="17" fillId="5" borderId="5" xfId="0" applyFont="1" applyFill="1" applyBorder="1" applyAlignment="1">
      <alignment horizontal="center" vertical="center" wrapText="1"/>
    </xf>
    <xf numFmtId="0" fontId="16" fillId="5" borderId="0" xfId="0" applyFont="1" applyFill="1" applyAlignment="1">
      <alignment horizontal="justify" vertical="top" wrapText="1"/>
    </xf>
    <xf numFmtId="0" fontId="16" fillId="5" borderId="9" xfId="0" applyFont="1" applyFill="1" applyBorder="1" applyAlignment="1">
      <alignment horizontal="justify" vertical="top" wrapText="1"/>
    </xf>
    <xf numFmtId="0" fontId="7" fillId="5" borderId="0" xfId="0" applyFont="1" applyFill="1" applyAlignment="1">
      <alignment horizontal="center"/>
    </xf>
    <xf numFmtId="0" fontId="2" fillId="5" borderId="0" xfId="0" applyFont="1" applyFill="1" applyAlignment="1">
      <alignment horizontal="justify" vertical="top" wrapText="1"/>
    </xf>
    <xf numFmtId="0" fontId="15" fillId="5" borderId="0" xfId="0" applyFont="1" applyFill="1" applyAlignment="1">
      <alignment horizontal="center" wrapText="1"/>
    </xf>
    <xf numFmtId="0" fontId="6" fillId="5" borderId="0" xfId="0" applyFont="1" applyFill="1" applyAlignment="1">
      <alignment horizontal="justify" vertical="top" wrapText="1"/>
    </xf>
    <xf numFmtId="0" fontId="11" fillId="5" borderId="8" xfId="0" applyFont="1" applyFill="1" applyBorder="1" applyAlignment="1">
      <alignment horizontal="left"/>
    </xf>
    <xf numFmtId="0" fontId="12" fillId="5" borderId="5" xfId="0" applyFont="1" applyFill="1" applyBorder="1" applyAlignment="1">
      <alignment horizontal="center" vertical="center"/>
    </xf>
    <xf numFmtId="49" fontId="14" fillId="5" borderId="7" xfId="0" applyNumberFormat="1" applyFont="1" applyFill="1" applyBorder="1" applyAlignment="1">
      <alignment horizontal="left"/>
    </xf>
    <xf numFmtId="0" fontId="2" fillId="0" borderId="0" xfId="0" applyFont="1" applyAlignment="1">
      <alignment horizontal="center"/>
    </xf>
    <xf numFmtId="0" fontId="2" fillId="5" borderId="8" xfId="0" applyFont="1" applyFill="1" applyBorder="1" applyAlignment="1" applyProtection="1">
      <alignment horizontal="left"/>
      <protection locked="0"/>
    </xf>
    <xf numFmtId="0" fontId="6" fillId="5" borderId="8" xfId="0" applyFont="1" applyFill="1" applyBorder="1" applyAlignment="1" applyProtection="1">
      <alignment horizontal="left"/>
      <protection locked="0"/>
    </xf>
    <xf numFmtId="0" fontId="7" fillId="5" borderId="7" xfId="0" applyFont="1" applyFill="1" applyBorder="1" applyAlignment="1">
      <alignment horizontal="left"/>
    </xf>
    <xf numFmtId="0" fontId="5" fillId="5" borderId="8" xfId="0" applyFont="1" applyFill="1" applyBorder="1" applyAlignment="1">
      <alignment horizontal="left"/>
    </xf>
    <xf numFmtId="0" fontId="7" fillId="5" borderId="8" xfId="0" applyFont="1" applyFill="1" applyBorder="1" applyAlignment="1">
      <alignment horizontal="left"/>
    </xf>
    <xf numFmtId="0" fontId="2" fillId="5" borderId="0" xfId="0" applyFont="1" applyFill="1" applyAlignment="1">
      <alignment horizontal="center"/>
    </xf>
    <xf numFmtId="0" fontId="6" fillId="5" borderId="7" xfId="0" applyFont="1" applyFill="1" applyBorder="1" applyAlignment="1" applyProtection="1">
      <alignment horizontal="left"/>
      <protection locked="0"/>
    </xf>
    <xf numFmtId="0" fontId="25" fillId="5" borderId="5" xfId="0" applyFont="1" applyFill="1" applyBorder="1" applyAlignment="1">
      <alignment horizontal="center" vertical="center"/>
    </xf>
    <xf numFmtId="0" fontId="6" fillId="5" borderId="8" xfId="0" applyFont="1" applyFill="1" applyBorder="1" applyAlignment="1">
      <alignment horizontal="left"/>
    </xf>
    <xf numFmtId="0" fontId="2" fillId="5" borderId="8" xfId="0" applyFont="1" applyFill="1" applyBorder="1" applyAlignment="1">
      <alignment horizontal="left"/>
    </xf>
    <xf numFmtId="1" fontId="8" fillId="5" borderId="8" xfId="0" applyNumberFormat="1" applyFont="1" applyFill="1" applyBorder="1" applyAlignment="1" applyProtection="1">
      <alignment horizontal="left"/>
      <protection locked="0"/>
    </xf>
    <xf numFmtId="0" fontId="2" fillId="5" borderId="7" xfId="0" applyFont="1" applyFill="1" applyBorder="1" applyAlignment="1">
      <alignment horizontal="left"/>
    </xf>
    <xf numFmtId="0" fontId="3" fillId="5" borderId="8" xfId="0" applyFont="1" applyFill="1" applyBorder="1" applyAlignment="1" applyProtection="1">
      <alignment horizontal="left"/>
      <protection locked="0"/>
    </xf>
    <xf numFmtId="0" fontId="8" fillId="5" borderId="8" xfId="0" applyFont="1" applyFill="1" applyBorder="1" applyAlignment="1" applyProtection="1">
      <alignment horizontal="left"/>
      <protection locked="0"/>
    </xf>
    <xf numFmtId="0" fontId="2" fillId="0" borderId="13" xfId="0" applyFont="1" applyBorder="1" applyAlignment="1">
      <alignment horizontal="center" wrapText="1"/>
    </xf>
    <xf numFmtId="0" fontId="2" fillId="0" borderId="14" xfId="0" applyFont="1" applyBorder="1" applyAlignment="1">
      <alignment horizontal="center" wrapText="1"/>
    </xf>
    <xf numFmtId="0" fontId="2" fillId="2" borderId="13" xfId="0" applyFont="1" applyFill="1" applyBorder="1" applyAlignment="1">
      <alignment horizontal="center" wrapText="1"/>
    </xf>
    <xf numFmtId="0" fontId="2" fillId="2" borderId="14" xfId="0" applyFont="1" applyFill="1" applyBorder="1" applyAlignment="1">
      <alignment horizontal="center" wrapText="1"/>
    </xf>
    <xf numFmtId="0" fontId="5" fillId="5" borderId="0" xfId="0" applyFont="1" applyFill="1" applyAlignment="1">
      <alignment horizontal="center" wrapText="1"/>
    </xf>
    <xf numFmtId="0" fontId="2" fillId="0" borderId="0" xfId="0" applyFont="1" applyAlignment="1">
      <alignment horizontal="center" wrapText="1"/>
    </xf>
    <xf numFmtId="0" fontId="5" fillId="5" borderId="4" xfId="0" applyFont="1" applyFill="1" applyBorder="1" applyAlignment="1">
      <alignment horizontal="center"/>
    </xf>
    <xf numFmtId="0" fontId="5" fillId="5" borderId="5" xfId="0" applyFont="1" applyFill="1" applyBorder="1" applyAlignment="1">
      <alignment horizontal="center"/>
    </xf>
    <xf numFmtId="0" fontId="5" fillId="5" borderId="6" xfId="0" applyFont="1" applyFill="1" applyBorder="1" applyAlignment="1">
      <alignment horizontal="center"/>
    </xf>
    <xf numFmtId="0" fontId="2" fillId="3" borderId="0" xfId="0" applyFont="1" applyFill="1" applyAlignment="1">
      <alignment horizontal="center" wrapText="1"/>
    </xf>
    <xf numFmtId="0" fontId="2" fillId="3" borderId="12" xfId="0" applyFont="1" applyFill="1" applyBorder="1" applyAlignment="1">
      <alignment horizontal="center" wrapText="1"/>
    </xf>
    <xf numFmtId="0" fontId="2" fillId="2" borderId="0" xfId="0" applyFont="1" applyFill="1" applyAlignment="1">
      <alignment horizontal="center" wrapText="1"/>
    </xf>
    <xf numFmtId="0" fontId="2" fillId="3" borderId="13" xfId="0" applyFont="1" applyFill="1" applyBorder="1" applyAlignment="1">
      <alignment horizontal="center" wrapText="1"/>
    </xf>
    <xf numFmtId="0" fontId="2" fillId="3" borderId="14" xfId="0" applyFont="1" applyFill="1" applyBorder="1" applyAlignment="1">
      <alignment horizontal="center" wrapText="1"/>
    </xf>
    <xf numFmtId="0" fontId="2" fillId="3" borderId="11" xfId="0" applyFont="1" applyFill="1" applyBorder="1" applyAlignment="1">
      <alignment horizontal="center" wrapText="1"/>
    </xf>
    <xf numFmtId="0" fontId="2" fillId="0" borderId="11" xfId="0" applyFont="1" applyBorder="1" applyAlignment="1">
      <alignment horizontal="center" wrapText="1"/>
    </xf>
    <xf numFmtId="0" fontId="2" fillId="0" borderId="12" xfId="0"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5" fillId="0" borderId="0" xfId="0" applyFont="1" applyAlignment="1">
      <alignment horizontal="left"/>
    </xf>
    <xf numFmtId="0" fontId="5" fillId="5" borderId="15" xfId="0" applyFont="1" applyFill="1" applyBorder="1" applyAlignment="1">
      <alignment horizontal="center"/>
    </xf>
    <xf numFmtId="0" fontId="5" fillId="5" borderId="11" xfId="0" applyFont="1" applyFill="1" applyBorder="1" applyAlignment="1">
      <alignment horizontal="center"/>
    </xf>
    <xf numFmtId="0" fontId="5" fillId="5" borderId="16" xfId="0" applyFont="1" applyFill="1" applyBorder="1" applyAlignment="1">
      <alignment horizontal="center"/>
    </xf>
    <xf numFmtId="0" fontId="4" fillId="5" borderId="4" xfId="0" applyFont="1" applyFill="1" applyBorder="1" applyAlignment="1">
      <alignment horizontal="center"/>
    </xf>
    <xf numFmtId="0" fontId="4" fillId="5" borderId="5" xfId="0" applyFont="1" applyFill="1" applyBorder="1" applyAlignment="1">
      <alignment horizontal="center"/>
    </xf>
    <xf numFmtId="0" fontId="4" fillId="5" borderId="6" xfId="0" applyFont="1" applyFill="1" applyBorder="1" applyAlignment="1">
      <alignment horizontal="center"/>
    </xf>
    <xf numFmtId="0" fontId="2" fillId="5" borderId="9" xfId="0" applyFont="1" applyFill="1" applyBorder="1" applyAlignment="1">
      <alignment horizontal="left"/>
    </xf>
    <xf numFmtId="0" fontId="19" fillId="5" borderId="11" xfId="0" applyFont="1" applyFill="1" applyBorder="1" applyAlignment="1">
      <alignment horizontal="left" vertical="center" wrapText="1" indent="1"/>
    </xf>
    <xf numFmtId="0" fontId="19" fillId="5" borderId="0" xfId="0" applyFont="1" applyFill="1" applyAlignment="1">
      <alignment horizontal="left" vertical="center" wrapText="1" indent="1"/>
    </xf>
    <xf numFmtId="0" fontId="19" fillId="5" borderId="0" xfId="0" applyFont="1" applyFill="1" applyAlignment="1">
      <alignment horizontal="justify" wrapText="1"/>
    </xf>
    <xf numFmtId="0" fontId="2" fillId="5" borderId="7" xfId="0" applyFont="1" applyFill="1" applyBorder="1" applyAlignment="1" applyProtection="1">
      <alignment horizontal="left"/>
      <protection locked="0"/>
    </xf>
    <xf numFmtId="0" fontId="4" fillId="5" borderId="8" xfId="0" applyFont="1" applyFill="1" applyBorder="1" applyAlignment="1">
      <alignment horizontal="left"/>
    </xf>
    <xf numFmtId="0" fontId="0" fillId="5" borderId="7" xfId="0" applyFill="1" applyBorder="1" applyAlignment="1">
      <alignment horizontal="left"/>
    </xf>
    <xf numFmtId="0" fontId="26" fillId="5" borderId="7" xfId="0" applyFont="1" applyFill="1" applyBorder="1" applyAlignment="1" applyProtection="1">
      <alignment horizontal="left"/>
      <protection locked="0"/>
    </xf>
    <xf numFmtId="0" fontId="18" fillId="5" borderId="7" xfId="0" applyFont="1" applyFill="1" applyBorder="1" applyAlignment="1" applyProtection="1">
      <alignment horizontal="left"/>
      <protection locked="0"/>
    </xf>
    <xf numFmtId="0" fontId="1" fillId="5" borderId="8" xfId="0" applyFont="1" applyFill="1" applyBorder="1" applyAlignment="1" applyProtection="1">
      <alignment horizontal="left"/>
      <protection locked="0"/>
    </xf>
    <xf numFmtId="0" fontId="0" fillId="5" borderId="8" xfId="0" applyFill="1" applyBorder="1" applyAlignment="1" applyProtection="1">
      <alignment horizontal="left"/>
      <protection locked="0"/>
    </xf>
    <xf numFmtId="0" fontId="4" fillId="5" borderId="0" xfId="0" applyFont="1" applyFill="1" applyAlignment="1">
      <alignment horizontal="left" vertical="center" wrapText="1" indent="1"/>
    </xf>
    <xf numFmtId="0" fontId="2" fillId="5" borderId="0" xfId="0" applyFont="1" applyFill="1" applyAlignment="1">
      <alignment horizontal="left" vertical="center" wrapText="1"/>
    </xf>
    <xf numFmtId="0" fontId="0" fillId="5" borderId="0" xfId="0" applyFill="1" applyAlignment="1">
      <alignment horizontal="left" vertical="center" wrapText="1"/>
    </xf>
    <xf numFmtId="0" fontId="25" fillId="5" borderId="5" xfId="0" applyFont="1" applyFill="1" applyBorder="1" applyAlignment="1">
      <alignment horizontal="center"/>
    </xf>
    <xf numFmtId="0" fontId="7" fillId="5" borderId="17" xfId="0" applyFont="1" applyFill="1" applyBorder="1" applyAlignment="1">
      <alignment horizontal="center"/>
    </xf>
    <xf numFmtId="0" fontId="29" fillId="5" borderId="24" xfId="0" applyFont="1" applyFill="1" applyBorder="1" applyAlignment="1">
      <alignment horizontal="left" vertical="top"/>
    </xf>
    <xf numFmtId="0" fontId="0" fillId="5" borderId="24" xfId="0" applyFill="1" applyBorder="1" applyAlignment="1">
      <alignment horizontal="left" vertical="top"/>
    </xf>
    <xf numFmtId="0" fontId="33" fillId="5" borderId="11" xfId="0" applyFont="1" applyFill="1" applyBorder="1" applyAlignment="1">
      <alignment horizontal="left" vertical="center" wrapText="1"/>
    </xf>
    <xf numFmtId="0" fontId="33" fillId="5" borderId="16" xfId="0" applyFont="1" applyFill="1" applyBorder="1" applyAlignment="1">
      <alignment horizontal="left" vertical="center" wrapText="1"/>
    </xf>
    <xf numFmtId="0" fontId="29" fillId="5" borderId="15" xfId="0" applyFont="1" applyFill="1" applyBorder="1" applyAlignment="1">
      <alignment horizontal="left" vertical="top" wrapText="1"/>
    </xf>
    <xf numFmtId="0" fontId="29" fillId="5" borderId="11" xfId="0" applyFont="1" applyFill="1" applyBorder="1" applyAlignment="1">
      <alignment horizontal="left" vertical="top" wrapText="1"/>
    </xf>
    <xf numFmtId="0" fontId="29" fillId="5" borderId="16" xfId="0" applyFont="1" applyFill="1" applyBorder="1" applyAlignment="1">
      <alignment horizontal="left" vertical="top" wrapText="1"/>
    </xf>
    <xf numFmtId="14" fontId="1" fillId="5" borderId="22" xfId="0" applyNumberFormat="1" applyFont="1" applyFill="1" applyBorder="1" applyAlignment="1" applyProtection="1">
      <alignment horizontal="left" wrapText="1"/>
      <protection locked="0"/>
    </xf>
    <xf numFmtId="0" fontId="1" fillId="5" borderId="9" xfId="0" applyFont="1" applyFill="1" applyBorder="1" applyAlignment="1" applyProtection="1">
      <alignment horizontal="left" wrapText="1"/>
      <protection locked="0"/>
    </xf>
    <xf numFmtId="0" fontId="16" fillId="5" borderId="19" xfId="0" applyFont="1" applyFill="1" applyBorder="1" applyAlignment="1">
      <alignment horizontal="left"/>
    </xf>
    <xf numFmtId="0" fontId="2" fillId="5" borderId="0" xfId="0" applyFont="1" applyFill="1" applyAlignment="1">
      <alignment horizontal="left"/>
    </xf>
    <xf numFmtId="0" fontId="2" fillId="5" borderId="0" xfId="0" applyFont="1" applyFill="1" applyAlignment="1">
      <alignment horizontal="justify" vertical="top"/>
    </xf>
    <xf numFmtId="0" fontId="2" fillId="5" borderId="9" xfId="0" applyFont="1" applyFill="1" applyBorder="1" applyAlignment="1" applyProtection="1">
      <alignment horizontal="left"/>
      <protection locked="0"/>
    </xf>
    <xf numFmtId="0" fontId="2" fillId="5" borderId="0" xfId="0" applyFont="1" applyFill="1" applyAlignment="1" applyProtection="1">
      <alignment horizontal="right"/>
      <protection locked="0"/>
    </xf>
    <xf numFmtId="0" fontId="2" fillId="5" borderId="0" xfId="0" applyFont="1" applyFill="1" applyAlignment="1">
      <alignment horizontal="right"/>
    </xf>
    <xf numFmtId="0" fontId="2" fillId="5" borderId="9" xfId="0" applyFont="1" applyFill="1" applyBorder="1" applyAlignment="1" applyProtection="1">
      <alignment horizontal="center"/>
      <protection locked="0"/>
    </xf>
    <xf numFmtId="0" fontId="29" fillId="5" borderId="0" xfId="0" applyFont="1" applyFill="1" applyAlignment="1">
      <alignment horizontal="left"/>
    </xf>
    <xf numFmtId="0" fontId="1" fillId="5" borderId="0" xfId="0" applyFont="1" applyFill="1" applyAlignment="1" applyProtection="1">
      <alignment horizontal="left" wrapText="1"/>
      <protection locked="0"/>
    </xf>
    <xf numFmtId="0" fontId="29" fillId="5" borderId="16" xfId="0" applyFont="1" applyFill="1" applyBorder="1" applyAlignment="1">
      <alignment horizontal="left" vertical="top"/>
    </xf>
    <xf numFmtId="0" fontId="29" fillId="5" borderId="20" xfId="0" applyFont="1" applyFill="1" applyBorder="1" applyAlignment="1">
      <alignment horizontal="left" vertical="top"/>
    </xf>
    <xf numFmtId="0" fontId="1" fillId="5" borderId="21" xfId="0" applyFont="1" applyFill="1" applyBorder="1" applyAlignment="1" applyProtection="1">
      <alignment horizontal="left" wrapText="1"/>
      <protection locked="0"/>
    </xf>
    <xf numFmtId="0" fontId="1" fillId="5" borderId="25" xfId="0" applyFont="1" applyFill="1" applyBorder="1" applyAlignment="1" applyProtection="1">
      <alignment horizontal="left" wrapText="1"/>
      <protection locked="0"/>
    </xf>
    <xf numFmtId="0" fontId="0" fillId="5" borderId="20" xfId="0" applyFill="1" applyBorder="1" applyAlignment="1">
      <alignment horizontal="left" vertical="top"/>
    </xf>
    <xf numFmtId="0" fontId="0" fillId="5" borderId="15" xfId="0" applyFill="1" applyBorder="1" applyAlignment="1">
      <alignment horizontal="left" vertical="top"/>
    </xf>
    <xf numFmtId="0" fontId="1" fillId="5" borderId="22" xfId="0" applyFont="1" applyFill="1" applyBorder="1" applyAlignment="1" applyProtection="1">
      <alignment horizontal="left" wrapText="1"/>
      <protection locked="0"/>
    </xf>
    <xf numFmtId="0" fontId="29" fillId="5" borderId="11" xfId="0" applyFont="1" applyFill="1" applyBorder="1" applyAlignment="1">
      <alignment horizontal="left" vertical="top"/>
    </xf>
    <xf numFmtId="0" fontId="0" fillId="5" borderId="11" xfId="0" applyFill="1" applyBorder="1" applyAlignment="1">
      <alignment horizontal="left" vertical="top"/>
    </xf>
    <xf numFmtId="0" fontId="29" fillId="5" borderId="15" xfId="0" applyFont="1" applyFill="1" applyBorder="1" applyAlignment="1">
      <alignment horizontal="left" vertical="top"/>
    </xf>
    <xf numFmtId="0" fontId="1" fillId="5" borderId="22" xfId="0" applyFont="1" applyFill="1" applyBorder="1" applyProtection="1">
      <protection locked="0"/>
    </xf>
    <xf numFmtId="0" fontId="1" fillId="5" borderId="9" xfId="0" applyFont="1" applyFill="1" applyBorder="1" applyProtection="1">
      <protection locked="0"/>
    </xf>
    <xf numFmtId="0" fontId="0" fillId="5" borderId="16" xfId="0" applyFill="1" applyBorder="1" applyAlignment="1">
      <alignment horizontal="left" vertical="top"/>
    </xf>
    <xf numFmtId="0" fontId="1" fillId="5" borderId="21" xfId="0" applyFont="1" applyFill="1" applyBorder="1" applyProtection="1">
      <protection locked="0"/>
    </xf>
    <xf numFmtId="0" fontId="0" fillId="5" borderId="19" xfId="0" applyFill="1" applyBorder="1" applyAlignment="1">
      <alignment horizontal="left"/>
    </xf>
    <xf numFmtId="0" fontId="1" fillId="5" borderId="9" xfId="0" applyFont="1" applyFill="1" applyBorder="1" applyAlignment="1">
      <alignment horizontal="left"/>
    </xf>
    <xf numFmtId="0" fontId="1" fillId="5" borderId="5" xfId="0" applyFont="1" applyFill="1" applyBorder="1" applyAlignment="1" applyProtection="1">
      <alignment horizontal="left"/>
      <protection locked="0"/>
    </xf>
    <xf numFmtId="0" fontId="1" fillId="5" borderId="5" xfId="0" applyFont="1" applyFill="1" applyBorder="1" applyAlignment="1">
      <alignment horizontal="left"/>
    </xf>
    <xf numFmtId="0" fontId="1" fillId="5" borderId="9" xfId="0" applyFont="1" applyFill="1" applyBorder="1" applyAlignment="1" applyProtection="1">
      <alignment horizontal="left"/>
      <protection locked="0"/>
    </xf>
    <xf numFmtId="49" fontId="1" fillId="5" borderId="9" xfId="0" applyNumberFormat="1" applyFont="1" applyFill="1" applyBorder="1" applyAlignment="1" applyProtection="1">
      <alignment horizontal="left"/>
      <protection locked="0"/>
    </xf>
    <xf numFmtId="0" fontId="1" fillId="5" borderId="9" xfId="0" applyFont="1" applyFill="1" applyBorder="1" applyAlignment="1" applyProtection="1">
      <alignment horizontal="center"/>
      <protection locked="0"/>
    </xf>
    <xf numFmtId="0" fontId="29" fillId="5" borderId="0" xfId="0" applyFont="1" applyFill="1" applyAlignment="1">
      <alignment horizontal="center"/>
    </xf>
    <xf numFmtId="0" fontId="30" fillId="5" borderId="9" xfId="0" applyFont="1" applyFill="1" applyBorder="1" applyAlignment="1">
      <alignment horizontal="left"/>
    </xf>
    <xf numFmtId="0" fontId="0" fillId="5" borderId="10" xfId="0" applyFill="1" applyBorder="1" applyAlignment="1">
      <alignment horizontal="center"/>
    </xf>
    <xf numFmtId="0" fontId="31" fillId="5" borderId="11" xfId="0" applyFont="1" applyFill="1" applyBorder="1" applyAlignment="1">
      <alignment horizontal="center"/>
    </xf>
    <xf numFmtId="0" fontId="0" fillId="5" borderId="0" xfId="0" applyFill="1" applyAlignment="1">
      <alignment horizontal="left"/>
    </xf>
    <xf numFmtId="0" fontId="0" fillId="5" borderId="0" xfId="0" applyFill="1" applyAlignment="1" applyProtection="1">
      <alignment horizontal="left"/>
      <protection locked="0"/>
    </xf>
    <xf numFmtId="0" fontId="31" fillId="5" borderId="0" xfId="0" applyFont="1" applyFill="1" applyAlignment="1">
      <alignment horizontal="left"/>
    </xf>
    <xf numFmtId="0" fontId="30" fillId="5" borderId="0" xfId="0" applyFont="1" applyFill="1" applyAlignment="1">
      <alignment horizontal="left"/>
    </xf>
    <xf numFmtId="43" fontId="33" fillId="5" borderId="9" xfId="0" applyNumberFormat="1" applyFont="1" applyFill="1" applyBorder="1" applyAlignment="1">
      <alignment horizontal="left"/>
    </xf>
    <xf numFmtId="43" fontId="33" fillId="5" borderId="5" xfId="0" applyNumberFormat="1" applyFont="1" applyFill="1" applyBorder="1" applyAlignment="1" applyProtection="1">
      <alignment horizontal="left"/>
      <protection locked="0"/>
    </xf>
    <xf numFmtId="0" fontId="0" fillId="5" borderId="11" xfId="0" applyFill="1" applyBorder="1" applyAlignment="1">
      <alignment horizontal="left"/>
    </xf>
    <xf numFmtId="0" fontId="33" fillId="5" borderId="0" xfId="0" applyFont="1" applyFill="1" applyAlignment="1">
      <alignment horizontal="left"/>
    </xf>
    <xf numFmtId="0" fontId="9" fillId="5" borderId="0" xfId="0" applyFont="1" applyFill="1" applyAlignment="1">
      <alignment horizontal="left"/>
    </xf>
    <xf numFmtId="0" fontId="32" fillId="5" borderId="9" xfId="0" applyFont="1" applyFill="1" applyBorder="1" applyAlignment="1">
      <alignment horizontal="center"/>
    </xf>
    <xf numFmtId="0" fontId="28" fillId="5" borderId="0" xfId="0" applyFont="1" applyFill="1" applyAlignment="1">
      <alignment horizontal="right" vertical="top"/>
    </xf>
    <xf numFmtId="0" fontId="0" fillId="5" borderId="0" xfId="0" applyFill="1" applyAlignment="1">
      <alignment horizontal="center"/>
    </xf>
    <xf numFmtId="0" fontId="29" fillId="5" borderId="11" xfId="0" applyFont="1" applyFill="1" applyBorder="1" applyAlignment="1">
      <alignment horizontal="left"/>
    </xf>
    <xf numFmtId="43" fontId="33" fillId="5" borderId="23" xfId="0" applyNumberFormat="1" applyFont="1" applyFill="1" applyBorder="1" applyAlignment="1">
      <alignment horizontal="left"/>
    </xf>
    <xf numFmtId="0" fontId="1" fillId="5" borderId="23" xfId="0" applyFont="1" applyFill="1" applyBorder="1" applyAlignment="1">
      <alignment horizontal="left"/>
    </xf>
    <xf numFmtId="0" fontId="29" fillId="5" borderId="15" xfId="0" applyFont="1" applyFill="1" applyBorder="1" applyAlignment="1">
      <alignment horizontal="left"/>
    </xf>
    <xf numFmtId="14" fontId="33" fillId="5" borderId="22" xfId="0" applyNumberFormat="1" applyFont="1" applyFill="1" applyBorder="1" applyAlignment="1" applyProtection="1">
      <alignment horizontal="left"/>
      <protection locked="0"/>
    </xf>
    <xf numFmtId="0" fontId="0" fillId="5" borderId="16" xfId="0" applyFill="1" applyBorder="1" applyAlignment="1">
      <alignment horizontal="left"/>
    </xf>
    <xf numFmtId="0" fontId="33" fillId="5" borderId="9" xfId="0" applyFont="1" applyFill="1" applyBorder="1" applyAlignment="1">
      <alignment horizontal="left"/>
    </xf>
    <xf numFmtId="0" fontId="1" fillId="5" borderId="21" xfId="0" applyFont="1" applyFill="1" applyBorder="1" applyAlignment="1">
      <alignment horizontal="left"/>
    </xf>
    <xf numFmtId="0" fontId="0" fillId="5" borderId="9" xfId="0" applyFill="1" applyBorder="1" applyAlignment="1">
      <alignment horizontal="left"/>
    </xf>
    <xf numFmtId="0" fontId="1" fillId="5" borderId="9" xfId="0" applyFont="1" applyFill="1" applyBorder="1" applyAlignment="1">
      <alignment horizontal="left" wrapText="1"/>
    </xf>
    <xf numFmtId="0" fontId="1" fillId="5" borderId="22" xfId="0" applyFont="1" applyFill="1" applyBorder="1" applyAlignment="1">
      <alignment horizontal="left" wrapText="1"/>
    </xf>
    <xf numFmtId="0" fontId="29" fillId="5" borderId="0" xfId="0" applyFont="1" applyFill="1" applyAlignment="1">
      <alignment horizontal="right"/>
    </xf>
  </cellXfs>
  <cellStyles count="3">
    <cellStyle name="Comma" xfId="2" builtinId="3"/>
    <cellStyle name="Currency" xfId="1" builtinId="4"/>
    <cellStyle name="Normal" xfId="0" builtinId="0"/>
  </cellStyles>
  <dxfs count="0"/>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C$18" lockText="1"/>
</file>

<file path=xl/ctrlProps/ctrlProp10.xml><?xml version="1.0" encoding="utf-8"?>
<formControlPr xmlns="http://schemas.microsoft.com/office/spreadsheetml/2009/9/main" objectType="CheckBox" fmlaLink="$C$22" lockText="1"/>
</file>

<file path=xl/ctrlProps/ctrlProp11.xml><?xml version="1.0" encoding="utf-8"?>
<formControlPr xmlns="http://schemas.microsoft.com/office/spreadsheetml/2009/9/main" objectType="CheckBox" fmlaLink="$C$23" lockText="1"/>
</file>

<file path=xl/ctrlProps/ctrlProp12.xml><?xml version="1.0" encoding="utf-8"?>
<formControlPr xmlns="http://schemas.microsoft.com/office/spreadsheetml/2009/9/main" objectType="CheckBox" checked="Checked" fmlaLink="$C$24" lockText="1"/>
</file>

<file path=xl/ctrlProps/ctrlProp13.xml><?xml version="1.0" encoding="utf-8"?>
<formControlPr xmlns="http://schemas.microsoft.com/office/spreadsheetml/2009/9/main" objectType="CheckBox" fmlaLink="$C$27" lockText="1"/>
</file>

<file path=xl/ctrlProps/ctrlProp14.xml><?xml version="1.0" encoding="utf-8"?>
<formControlPr xmlns="http://schemas.microsoft.com/office/spreadsheetml/2009/9/main" objectType="CheckBox" fmlaLink="$C$28" lockText="1"/>
</file>

<file path=xl/ctrlProps/ctrlProp15.xml><?xml version="1.0" encoding="utf-8"?>
<formControlPr xmlns="http://schemas.microsoft.com/office/spreadsheetml/2009/9/main" objectType="CheckBox" fmlaLink="$C$32" lockText="1"/>
</file>

<file path=xl/ctrlProps/ctrlProp16.xml><?xml version="1.0" encoding="utf-8"?>
<formControlPr xmlns="http://schemas.microsoft.com/office/spreadsheetml/2009/9/main" objectType="CheckBox" fmlaLink="$C$33" lockText="1"/>
</file>

<file path=xl/ctrlProps/ctrlProp17.xml><?xml version="1.0" encoding="utf-8"?>
<formControlPr xmlns="http://schemas.microsoft.com/office/spreadsheetml/2009/9/main" objectType="CheckBox" fmlaLink="$C$34" lockText="1"/>
</file>

<file path=xl/ctrlProps/ctrlProp18.xml><?xml version="1.0" encoding="utf-8"?>
<formControlPr xmlns="http://schemas.microsoft.com/office/spreadsheetml/2009/9/main" objectType="CheckBox" fmlaLink="$C$35" lockText="1"/>
</file>

<file path=xl/ctrlProps/ctrlProp19.xml><?xml version="1.0" encoding="utf-8"?>
<formControlPr xmlns="http://schemas.microsoft.com/office/spreadsheetml/2009/9/main" objectType="CheckBox" fmlaLink="$C$38" lockText="1"/>
</file>

<file path=xl/ctrlProps/ctrlProp2.xml><?xml version="1.0" encoding="utf-8"?>
<formControlPr xmlns="http://schemas.microsoft.com/office/spreadsheetml/2009/9/main" objectType="CheckBox" fmlaLink="C19" lockText="1"/>
</file>

<file path=xl/ctrlProps/ctrlProp20.xml><?xml version="1.0" encoding="utf-8"?>
<formControlPr xmlns="http://schemas.microsoft.com/office/spreadsheetml/2009/9/main" objectType="CheckBox" fmlaLink="$C$39" lockText="1"/>
</file>

<file path=xl/ctrlProps/ctrlProp21.xml><?xml version="1.0" encoding="utf-8"?>
<formControlPr xmlns="http://schemas.microsoft.com/office/spreadsheetml/2009/9/main" objectType="CheckBox" fmlaLink="$C$40" lockText="1"/>
</file>

<file path=xl/ctrlProps/ctrlProp22.xml><?xml version="1.0" encoding="utf-8"?>
<formControlPr xmlns="http://schemas.microsoft.com/office/spreadsheetml/2009/9/main" objectType="CheckBox" fmlaLink="$C$41" lockText="1"/>
</file>

<file path=xl/ctrlProps/ctrlProp23.xml><?xml version="1.0" encoding="utf-8"?>
<formControlPr xmlns="http://schemas.microsoft.com/office/spreadsheetml/2009/9/main" objectType="CheckBox" fmlaLink="$C$42" lockText="1"/>
</file>

<file path=xl/ctrlProps/ctrlProp24.xml><?xml version="1.0" encoding="utf-8"?>
<formControlPr xmlns="http://schemas.microsoft.com/office/spreadsheetml/2009/9/main" objectType="CheckBox" fmlaLink="$C$43" lockText="1"/>
</file>

<file path=xl/ctrlProps/ctrlProp25.xml><?xml version="1.0" encoding="utf-8"?>
<formControlPr xmlns="http://schemas.microsoft.com/office/spreadsheetml/2009/9/main" objectType="CheckBox" fmlaLink="$C$46" lockText="1"/>
</file>

<file path=xl/ctrlProps/ctrlProp26.xml><?xml version="1.0" encoding="utf-8"?>
<formControlPr xmlns="http://schemas.microsoft.com/office/spreadsheetml/2009/9/main" objectType="CheckBox" fmlaLink="$C$47" lockText="1"/>
</file>

<file path=xl/ctrlProps/ctrlProp27.xml><?xml version="1.0" encoding="utf-8"?>
<formControlPr xmlns="http://schemas.microsoft.com/office/spreadsheetml/2009/9/main" objectType="CheckBox" fmlaLink="$C$49" lockText="1"/>
</file>

<file path=xl/ctrlProps/ctrlProp28.xml><?xml version="1.0" encoding="utf-8"?>
<formControlPr xmlns="http://schemas.microsoft.com/office/spreadsheetml/2009/9/main" objectType="CheckBox" fmlaLink="$C$51" lockText="1"/>
</file>

<file path=xl/ctrlProps/ctrlProp29.xml><?xml version="1.0" encoding="utf-8"?>
<formControlPr xmlns="http://schemas.microsoft.com/office/spreadsheetml/2009/9/main" objectType="CheckBox" fmlaLink="$C$52" lockText="1"/>
</file>

<file path=xl/ctrlProps/ctrlProp3.xml><?xml version="1.0" encoding="utf-8"?>
<formControlPr xmlns="http://schemas.microsoft.com/office/spreadsheetml/2009/9/main" objectType="CheckBox" fmlaLink="C23" lockText="1"/>
</file>

<file path=xl/ctrlProps/ctrlProp30.xml><?xml version="1.0" encoding="utf-8"?>
<formControlPr xmlns="http://schemas.microsoft.com/office/spreadsheetml/2009/9/main" objectType="CheckBox" fmlaLink="$C$53" lockText="1"/>
</file>

<file path=xl/ctrlProps/ctrlProp31.xml><?xml version="1.0" encoding="utf-8"?>
<formControlPr xmlns="http://schemas.microsoft.com/office/spreadsheetml/2009/9/main" objectType="CheckBox" checked="Checked" fmlaLink="$C$55" lockText="1"/>
</file>

<file path=xl/ctrlProps/ctrlProp32.xml><?xml version="1.0" encoding="utf-8"?>
<formControlPr xmlns="http://schemas.microsoft.com/office/spreadsheetml/2009/9/main" objectType="CheckBox" fmlaLink="$C$48" lockText="1"/>
</file>

<file path=xl/ctrlProps/ctrlProp33.xml><?xml version="1.0" encoding="utf-8"?>
<formControlPr xmlns="http://schemas.microsoft.com/office/spreadsheetml/2009/9/main" objectType="Drop" dropLines="9" dropStyle="combo" dx="22" fmlaLink="$Q$7" fmlaRange="$S$7:$S$15" noThreeD="1" sel="9" val="0"/>
</file>

<file path=xl/ctrlProps/ctrlProp34.xml><?xml version="1.0" encoding="utf-8"?>
<formControlPr xmlns="http://schemas.microsoft.com/office/spreadsheetml/2009/9/main" objectType="Drop" dropLines="9" dropStyle="combo" dx="22" fmlaLink="$Q$9" fmlaRange="$T$7:$T$16" noThreeD="1" sel="8" val="0"/>
</file>

<file path=xl/ctrlProps/ctrlProp35.xml><?xml version="1.0" encoding="utf-8"?>
<formControlPr xmlns="http://schemas.microsoft.com/office/spreadsheetml/2009/9/main" objectType="Drop" dropLines="3" dropStyle="combo" dx="22" fmlaLink="$Q$13" fmlaRange="$U$7:$U$9" noThreeD="1" sel="1" val="0"/>
</file>

<file path=xl/ctrlProps/ctrlProp36.xml><?xml version="1.0" encoding="utf-8"?>
<formControlPr xmlns="http://schemas.microsoft.com/office/spreadsheetml/2009/9/main" objectType="Drop" dropLines="7" dropStyle="combo" dx="22" fmlaLink="$Q$11" fmlaRange="$V$7:$V$13" noThreeD="1" sel="7" val="0"/>
</file>

<file path=xl/ctrlProps/ctrlProp37.xml><?xml version="1.0" encoding="utf-8"?>
<formControlPr xmlns="http://schemas.microsoft.com/office/spreadsheetml/2009/9/main" objectType="CheckBox" fmlaLink="$C$71" lockText="1"/>
</file>

<file path=xl/ctrlProps/ctrlProp38.xml><?xml version="1.0" encoding="utf-8"?>
<formControlPr xmlns="http://schemas.microsoft.com/office/spreadsheetml/2009/9/main" objectType="CheckBox" fmlaLink="$C$73" lockText="1"/>
</file>

<file path=xl/ctrlProps/ctrlProp39.xml><?xml version="1.0" encoding="utf-8"?>
<formControlPr xmlns="http://schemas.microsoft.com/office/spreadsheetml/2009/9/main" objectType="CheckBox" fmlaLink="$C$74" lockText="1"/>
</file>

<file path=xl/ctrlProps/ctrlProp4.xml><?xml version="1.0" encoding="utf-8"?>
<formControlPr xmlns="http://schemas.microsoft.com/office/spreadsheetml/2009/9/main" objectType="CheckBox" checked="Checked" fmlaLink="C24" lockText="1"/>
</file>

<file path=xl/ctrlProps/ctrlProp40.xml><?xml version="1.0" encoding="utf-8"?>
<formControlPr xmlns="http://schemas.microsoft.com/office/spreadsheetml/2009/9/main" objectType="CheckBox" fmlaLink="$C$76" lockText="1"/>
</file>

<file path=xl/ctrlProps/ctrlProp41.xml><?xml version="1.0" encoding="utf-8"?>
<formControlPr xmlns="http://schemas.microsoft.com/office/spreadsheetml/2009/9/main" objectType="CheckBox" fmlaLink="$C$75" lockText="1"/>
</file>

<file path=xl/ctrlProps/ctrlProp42.xml><?xml version="1.0" encoding="utf-8"?>
<formControlPr xmlns="http://schemas.microsoft.com/office/spreadsheetml/2009/9/main" objectType="CheckBox" checked="Checked" fmlaLink="$C$78" lockText="1"/>
</file>

<file path=xl/ctrlProps/ctrlProp43.xml><?xml version="1.0" encoding="utf-8"?>
<formControlPr xmlns="http://schemas.microsoft.com/office/spreadsheetml/2009/9/main" objectType="CheckBox" fmlaLink="$C$77" lockText="1"/>
</file>

<file path=xl/ctrlProps/ctrlProp44.xml><?xml version="1.0" encoding="utf-8"?>
<formControlPr xmlns="http://schemas.microsoft.com/office/spreadsheetml/2009/9/main" objectType="CheckBox" checked="Checked" fmlaLink="$C$79" lockText="1"/>
</file>

<file path=xl/ctrlProps/ctrlProp45.xml><?xml version="1.0" encoding="utf-8"?>
<formControlPr xmlns="http://schemas.microsoft.com/office/spreadsheetml/2009/9/main" objectType="CheckBox" fmlaLink="$C$82" lockText="1"/>
</file>

<file path=xl/ctrlProps/ctrlProp46.xml><?xml version="1.0" encoding="utf-8"?>
<formControlPr xmlns="http://schemas.microsoft.com/office/spreadsheetml/2009/9/main" objectType="CheckBox" fmlaLink="$C$83" lockText="1"/>
</file>

<file path=xl/ctrlProps/ctrlProp47.xml><?xml version="1.0" encoding="utf-8"?>
<formControlPr xmlns="http://schemas.microsoft.com/office/spreadsheetml/2009/9/main" objectType="CheckBox" fmlaLink="$C$84" lockText="1"/>
</file>

<file path=xl/ctrlProps/ctrlProp48.xml><?xml version="1.0" encoding="utf-8"?>
<formControlPr xmlns="http://schemas.microsoft.com/office/spreadsheetml/2009/9/main" objectType="CheckBox" fmlaLink="$C$85" lockText="1"/>
</file>

<file path=xl/ctrlProps/ctrlProp49.xml><?xml version="1.0" encoding="utf-8"?>
<formControlPr xmlns="http://schemas.microsoft.com/office/spreadsheetml/2009/9/main" objectType="CheckBox" checked="Checked" fmlaLink="$C$89" lockText="1"/>
</file>

<file path=xl/ctrlProps/ctrlProp5.xml><?xml version="1.0" encoding="utf-8"?>
<formControlPr xmlns="http://schemas.microsoft.com/office/spreadsheetml/2009/9/main" objectType="CheckBox" fmlaLink="C18" lockText="1"/>
</file>

<file path=xl/ctrlProps/ctrlProp50.xml><?xml version="1.0" encoding="utf-8"?>
<formControlPr xmlns="http://schemas.microsoft.com/office/spreadsheetml/2009/9/main" objectType="CheckBox" checked="Checked" fmlaLink="$C$90" lockText="1"/>
</file>

<file path=xl/ctrlProps/ctrlProp51.xml><?xml version="1.0" encoding="utf-8"?>
<formControlPr xmlns="http://schemas.microsoft.com/office/spreadsheetml/2009/9/main" objectType="CheckBox" fmlaLink="$C$93" lockText="1"/>
</file>

<file path=xl/ctrlProps/ctrlProp52.xml><?xml version="1.0" encoding="utf-8"?>
<formControlPr xmlns="http://schemas.microsoft.com/office/spreadsheetml/2009/9/main" objectType="CheckBox" fmlaLink="$C$94" lockText="1"/>
</file>

<file path=xl/ctrlProps/ctrlProp53.xml><?xml version="1.0" encoding="utf-8"?>
<formControlPr xmlns="http://schemas.microsoft.com/office/spreadsheetml/2009/9/main" objectType="CheckBox" fmlaLink="$C$95" lockText="1"/>
</file>

<file path=xl/ctrlProps/ctrlProp54.xml><?xml version="1.0" encoding="utf-8"?>
<formControlPr xmlns="http://schemas.microsoft.com/office/spreadsheetml/2009/9/main" objectType="CheckBox" fmlaLink="$C$96" lockText="1"/>
</file>

<file path=xl/ctrlProps/ctrlProp55.xml><?xml version="1.0" encoding="utf-8"?>
<formControlPr xmlns="http://schemas.microsoft.com/office/spreadsheetml/2009/9/main" objectType="CheckBox" fmlaLink="$C$97" lockText="1"/>
</file>

<file path=xl/ctrlProps/ctrlProp56.xml><?xml version="1.0" encoding="utf-8"?>
<formControlPr xmlns="http://schemas.microsoft.com/office/spreadsheetml/2009/9/main" objectType="CheckBox" fmlaLink="$C$98" lockText="1"/>
</file>

<file path=xl/ctrlProps/ctrlProp57.xml><?xml version="1.0" encoding="utf-8"?>
<formControlPr xmlns="http://schemas.microsoft.com/office/spreadsheetml/2009/9/main" objectType="CheckBox" fmlaLink="$C$99" lockText="1"/>
</file>

<file path=xl/ctrlProps/ctrlProp58.xml><?xml version="1.0" encoding="utf-8"?>
<formControlPr xmlns="http://schemas.microsoft.com/office/spreadsheetml/2009/9/main" objectType="CheckBox" fmlaLink="$C$100" lockText="1"/>
</file>

<file path=xl/ctrlProps/ctrlProp59.xml><?xml version="1.0" encoding="utf-8"?>
<formControlPr xmlns="http://schemas.microsoft.com/office/spreadsheetml/2009/9/main" objectType="CheckBox" fmlaLink="$C$101" lockText="1"/>
</file>

<file path=xl/ctrlProps/ctrlProp6.xml><?xml version="1.0" encoding="utf-8"?>
<formControlPr xmlns="http://schemas.microsoft.com/office/spreadsheetml/2009/9/main" objectType="CheckBox" fmlaLink="C18" lockText="1"/>
</file>

<file path=xl/ctrlProps/ctrlProp60.xml><?xml version="1.0" encoding="utf-8"?>
<formControlPr xmlns="http://schemas.microsoft.com/office/spreadsheetml/2009/9/main" objectType="CheckBox" fmlaLink="$C$102" lockText="1"/>
</file>

<file path=xl/ctrlProps/ctrlProp61.xml><?xml version="1.0" encoding="utf-8"?>
<formControlPr xmlns="http://schemas.microsoft.com/office/spreadsheetml/2009/9/main" objectType="CheckBox" fmlaLink="$C$103" lockText="1"/>
</file>

<file path=xl/ctrlProps/ctrlProp62.xml><?xml version="1.0" encoding="utf-8"?>
<formControlPr xmlns="http://schemas.microsoft.com/office/spreadsheetml/2009/9/main" objectType="CheckBox" fmlaLink="$C$104" lockText="1"/>
</file>

<file path=xl/ctrlProps/ctrlProp63.xml><?xml version="1.0" encoding="utf-8"?>
<formControlPr xmlns="http://schemas.microsoft.com/office/spreadsheetml/2009/9/main" objectType="CheckBox" fmlaLink="$C$105" lockText="1"/>
</file>

<file path=xl/ctrlProps/ctrlProp64.xml><?xml version="1.0" encoding="utf-8"?>
<formControlPr xmlns="http://schemas.microsoft.com/office/spreadsheetml/2009/9/main" objectType="Drop" dropLines="4" dropStyle="combo" dx="22" fmlaLink="$Q$15" fmlaRange="$W$7:$W$10" noThreeD="1" sel="3" val="0"/>
</file>

<file path=xl/ctrlProps/ctrlProp65.xml><?xml version="1.0" encoding="utf-8"?>
<formControlPr xmlns="http://schemas.microsoft.com/office/spreadsheetml/2009/9/main" objectType="CheckBox" fmlaLink="$C$54" lockText="1"/>
</file>

<file path=xl/ctrlProps/ctrlProp66.xml><?xml version="1.0" encoding="utf-8"?>
<formControlPr xmlns="http://schemas.microsoft.com/office/spreadsheetml/2009/9/main" objectType="CheckBox" fmlaLink="$C$72" lockText="1"/>
</file>

<file path=xl/ctrlProps/ctrlProp67.xml><?xml version="1.0" encoding="utf-8"?>
<formControlPr xmlns="http://schemas.microsoft.com/office/spreadsheetml/2009/9/main" objectType="CheckBox" fmlaLink="$C$87" lockText="1"/>
</file>

<file path=xl/ctrlProps/ctrlProp68.xml><?xml version="1.0" encoding="utf-8"?>
<formControlPr xmlns="http://schemas.microsoft.com/office/spreadsheetml/2009/9/main" objectType="CheckBox" fmlaLink="$C$88" lockText="1"/>
</file>

<file path=xl/ctrlProps/ctrlProp69.xml><?xml version="1.0" encoding="utf-8"?>
<formControlPr xmlns="http://schemas.microsoft.com/office/spreadsheetml/2009/9/main" objectType="CheckBox" fmlaLink="$C$59" lockText="1"/>
</file>

<file path=xl/ctrlProps/ctrlProp7.xml><?xml version="1.0" encoding="utf-8"?>
<formControlPr xmlns="http://schemas.microsoft.com/office/spreadsheetml/2009/9/main" objectType="CheckBox" fmlaLink="C18" lockText="1"/>
</file>

<file path=xl/ctrlProps/ctrlProp70.xml><?xml version="1.0" encoding="utf-8"?>
<formControlPr xmlns="http://schemas.microsoft.com/office/spreadsheetml/2009/9/main" objectType="CheckBox" fmlaLink="$C$60" lockText="1"/>
</file>

<file path=xl/ctrlProps/ctrlProp71.xml><?xml version="1.0" encoding="utf-8"?>
<formControlPr xmlns="http://schemas.microsoft.com/office/spreadsheetml/2009/9/main" objectType="CheckBox" fmlaLink="$C$62" lockText="1"/>
</file>

<file path=xl/ctrlProps/ctrlProp72.xml><?xml version="1.0" encoding="utf-8"?>
<formControlPr xmlns="http://schemas.microsoft.com/office/spreadsheetml/2009/9/main" objectType="CheckBox" fmlaLink="$C$61" lockText="1"/>
</file>

<file path=xl/ctrlProps/ctrlProp73.xml><?xml version="1.0" encoding="utf-8"?>
<formControlPr xmlns="http://schemas.microsoft.com/office/spreadsheetml/2009/9/main" objectType="CheckBox" fmlaLink="$C$63" lockText="1"/>
</file>

<file path=xl/ctrlProps/ctrlProp74.xml><?xml version="1.0" encoding="utf-8"?>
<formControlPr xmlns="http://schemas.microsoft.com/office/spreadsheetml/2009/9/main" objectType="CheckBox" fmlaLink="$C$106" lockText="1"/>
</file>

<file path=xl/ctrlProps/ctrlProp75.xml><?xml version="1.0" encoding="utf-8"?>
<formControlPr xmlns="http://schemas.microsoft.com/office/spreadsheetml/2009/9/main" objectType="CheckBox" checked="Checked" fmlaLink="$C$56" lockText="1"/>
</file>

<file path=xl/ctrlProps/ctrlProp76.xml><?xml version="1.0" encoding="utf-8"?>
<formControlPr xmlns="http://schemas.microsoft.com/office/spreadsheetml/2009/9/main" objectType="CheckBox" fmlaLink="$C$67" lockText="1"/>
</file>

<file path=xl/ctrlProps/ctrlProp77.xml><?xml version="1.0" encoding="utf-8"?>
<formControlPr xmlns="http://schemas.microsoft.com/office/spreadsheetml/2009/9/main" objectType="CheckBox" fmlaLink="$C$68" lockText="1"/>
</file>

<file path=xl/ctrlProps/ctrlProp78.xml><?xml version="1.0" encoding="utf-8"?>
<formControlPr xmlns="http://schemas.microsoft.com/office/spreadsheetml/2009/9/main" objectType="CheckBox" fmlaLink="$C$29" lockText="1"/>
</file>

<file path=xl/ctrlProps/ctrlProp79.xml><?xml version="1.0" encoding="utf-8"?>
<formControlPr xmlns="http://schemas.microsoft.com/office/spreadsheetml/2009/9/main" objectType="CheckBox" fmlaLink="$C$107" lockText="1"/>
</file>

<file path=xl/ctrlProps/ctrlProp8.xml><?xml version="1.0" encoding="utf-8"?>
<formControlPr xmlns="http://schemas.microsoft.com/office/spreadsheetml/2009/9/main" objectType="CheckBox" fmlaLink="$C$19" lockText="1"/>
</file>

<file path=xl/ctrlProps/ctrlProp80.xml><?xml version="1.0" encoding="utf-8"?>
<formControlPr xmlns="http://schemas.microsoft.com/office/spreadsheetml/2009/9/main" objectType="CheckBox" fmlaLink="$C$86" lockText="1"/>
</file>

<file path=xl/ctrlProps/ctrlProp81.xml><?xml version="1.0" encoding="utf-8"?>
<formControlPr xmlns="http://schemas.microsoft.com/office/spreadsheetml/2009/9/main" objectType="CheckBox" fmlaLink="$C$50" lockText="1"/>
</file>

<file path=xl/ctrlProps/ctrlProp82.xml><?xml version="1.0" encoding="utf-8"?>
<formControlPr xmlns="http://schemas.microsoft.com/office/spreadsheetml/2009/9/main" objectType="CheckBox" fmlaLink="$C$64" lockText="1"/>
</file>

<file path=xl/ctrlProps/ctrlProp9.xml><?xml version="1.0" encoding="utf-8"?>
<formControlPr xmlns="http://schemas.microsoft.com/office/spreadsheetml/2009/9/main" objectType="CheckBox" fmlaLink="$C$21" lockText="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16</xdr:row>
          <xdr:rowOff>133350</xdr:rowOff>
        </xdr:from>
        <xdr:to>
          <xdr:col>3</xdr:col>
          <xdr:colOff>114300</xdr:colOff>
          <xdr:row>18</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133350</xdr:rowOff>
        </xdr:from>
        <xdr:to>
          <xdr:col>3</xdr:col>
          <xdr:colOff>114300</xdr:colOff>
          <xdr:row>20</xdr:row>
          <xdr:rowOff>19050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133350</xdr:rowOff>
        </xdr:from>
        <xdr:to>
          <xdr:col>3</xdr:col>
          <xdr:colOff>114300</xdr:colOff>
          <xdr:row>23</xdr:row>
          <xdr:rowOff>28575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133350</xdr:rowOff>
        </xdr:from>
        <xdr:to>
          <xdr:col>3</xdr:col>
          <xdr:colOff>114300</xdr:colOff>
          <xdr:row>24</xdr:row>
          <xdr:rowOff>28575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133350</xdr:rowOff>
        </xdr:from>
        <xdr:to>
          <xdr:col>3</xdr:col>
          <xdr:colOff>114300</xdr:colOff>
          <xdr:row>20</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133350</xdr:rowOff>
        </xdr:from>
        <xdr:to>
          <xdr:col>3</xdr:col>
          <xdr:colOff>114300</xdr:colOff>
          <xdr:row>23</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133350</xdr:rowOff>
        </xdr:from>
        <xdr:to>
          <xdr:col>3</xdr:col>
          <xdr:colOff>114300</xdr:colOff>
          <xdr:row>24</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133350</xdr:rowOff>
        </xdr:from>
        <xdr:to>
          <xdr:col>3</xdr:col>
          <xdr:colOff>114300</xdr:colOff>
          <xdr:row>20</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123825</xdr:rowOff>
        </xdr:from>
        <xdr:to>
          <xdr:col>3</xdr:col>
          <xdr:colOff>114300</xdr:colOff>
          <xdr:row>21</xdr:row>
          <xdr:rowOff>19050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123825</xdr:rowOff>
        </xdr:from>
        <xdr:to>
          <xdr:col>3</xdr:col>
          <xdr:colOff>114300</xdr:colOff>
          <xdr:row>22</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xdr:row>
          <xdr:rowOff>133350</xdr:rowOff>
        </xdr:from>
        <xdr:to>
          <xdr:col>3</xdr:col>
          <xdr:colOff>114300</xdr:colOff>
          <xdr:row>23</xdr:row>
          <xdr:rowOff>28575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133350</xdr:rowOff>
        </xdr:from>
        <xdr:to>
          <xdr:col>3</xdr:col>
          <xdr:colOff>114300</xdr:colOff>
          <xdr:row>24</xdr:row>
          <xdr:rowOff>28575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25</xdr:row>
          <xdr:rowOff>133350</xdr:rowOff>
        </xdr:from>
        <xdr:to>
          <xdr:col>3</xdr:col>
          <xdr:colOff>114300</xdr:colOff>
          <xdr:row>27</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26</xdr:row>
          <xdr:rowOff>133350</xdr:rowOff>
        </xdr:from>
        <xdr:to>
          <xdr:col>3</xdr:col>
          <xdr:colOff>114300</xdr:colOff>
          <xdr:row>28</xdr:row>
          <xdr:rowOff>19050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30</xdr:row>
          <xdr:rowOff>133350</xdr:rowOff>
        </xdr:from>
        <xdr:to>
          <xdr:col>3</xdr:col>
          <xdr:colOff>114300</xdr:colOff>
          <xdr:row>32</xdr:row>
          <xdr:rowOff>19050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133350</xdr:rowOff>
        </xdr:from>
        <xdr:to>
          <xdr:col>3</xdr:col>
          <xdr:colOff>114300</xdr:colOff>
          <xdr:row>33</xdr:row>
          <xdr:rowOff>19050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133350</xdr:rowOff>
        </xdr:from>
        <xdr:to>
          <xdr:col>3</xdr:col>
          <xdr:colOff>114300</xdr:colOff>
          <xdr:row>34</xdr:row>
          <xdr:rowOff>28575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133350</xdr:rowOff>
        </xdr:from>
        <xdr:to>
          <xdr:col>3</xdr:col>
          <xdr:colOff>114300</xdr:colOff>
          <xdr:row>35</xdr:row>
          <xdr:rowOff>28575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133350</xdr:rowOff>
        </xdr:from>
        <xdr:to>
          <xdr:col>3</xdr:col>
          <xdr:colOff>114300</xdr:colOff>
          <xdr:row>38</xdr:row>
          <xdr:rowOff>19050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133350</xdr:rowOff>
        </xdr:from>
        <xdr:to>
          <xdr:col>3</xdr:col>
          <xdr:colOff>114300</xdr:colOff>
          <xdr:row>39</xdr:row>
          <xdr:rowOff>19050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133350</xdr:rowOff>
        </xdr:from>
        <xdr:to>
          <xdr:col>3</xdr:col>
          <xdr:colOff>114300</xdr:colOff>
          <xdr:row>40</xdr:row>
          <xdr:rowOff>28575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133350</xdr:rowOff>
        </xdr:from>
        <xdr:to>
          <xdr:col>3</xdr:col>
          <xdr:colOff>114300</xdr:colOff>
          <xdr:row>41</xdr:row>
          <xdr:rowOff>28575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40</xdr:row>
          <xdr:rowOff>133350</xdr:rowOff>
        </xdr:from>
        <xdr:to>
          <xdr:col>3</xdr:col>
          <xdr:colOff>114300</xdr:colOff>
          <xdr:row>42</xdr:row>
          <xdr:rowOff>28575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133350</xdr:rowOff>
        </xdr:from>
        <xdr:to>
          <xdr:col>3</xdr:col>
          <xdr:colOff>114300</xdr:colOff>
          <xdr:row>43</xdr:row>
          <xdr:rowOff>28575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133350</xdr:rowOff>
        </xdr:from>
        <xdr:to>
          <xdr:col>3</xdr:col>
          <xdr:colOff>114300</xdr:colOff>
          <xdr:row>46</xdr:row>
          <xdr:rowOff>19050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45</xdr:row>
          <xdr:rowOff>133350</xdr:rowOff>
        </xdr:from>
        <xdr:to>
          <xdr:col>3</xdr:col>
          <xdr:colOff>114300</xdr:colOff>
          <xdr:row>47</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133350</xdr:rowOff>
        </xdr:from>
        <xdr:to>
          <xdr:col>3</xdr:col>
          <xdr:colOff>114300</xdr:colOff>
          <xdr:row>49</xdr:row>
          <xdr:rowOff>28575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49</xdr:row>
          <xdr:rowOff>142875</xdr:rowOff>
        </xdr:from>
        <xdr:to>
          <xdr:col>3</xdr:col>
          <xdr:colOff>114300</xdr:colOff>
          <xdr:row>51</xdr:row>
          <xdr:rowOff>38100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133350</xdr:rowOff>
        </xdr:from>
        <xdr:to>
          <xdr:col>3</xdr:col>
          <xdr:colOff>114300</xdr:colOff>
          <xdr:row>52</xdr:row>
          <xdr:rowOff>28575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133350</xdr:rowOff>
        </xdr:from>
        <xdr:to>
          <xdr:col>3</xdr:col>
          <xdr:colOff>114300</xdr:colOff>
          <xdr:row>53</xdr:row>
          <xdr:rowOff>28575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133350</xdr:rowOff>
        </xdr:from>
        <xdr:to>
          <xdr:col>3</xdr:col>
          <xdr:colOff>114300</xdr:colOff>
          <xdr:row>55</xdr:row>
          <xdr:rowOff>28575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46</xdr:row>
          <xdr:rowOff>142875</xdr:rowOff>
        </xdr:from>
        <xdr:to>
          <xdr:col>3</xdr:col>
          <xdr:colOff>114300</xdr:colOff>
          <xdr:row>48</xdr:row>
          <xdr:rowOff>38100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xdr:row>
          <xdr:rowOff>9525</xdr:rowOff>
        </xdr:from>
        <xdr:to>
          <xdr:col>13</xdr:col>
          <xdr:colOff>590550</xdr:colOff>
          <xdr:row>7</xdr:row>
          <xdr:rowOff>9525</xdr:rowOff>
        </xdr:to>
        <xdr:sp macro="" textlink="">
          <xdr:nvSpPr>
            <xdr:cNvPr id="1086" name="Drop Dow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8</xdr:row>
          <xdr:rowOff>0</xdr:rowOff>
        </xdr:from>
        <xdr:to>
          <xdr:col>13</xdr:col>
          <xdr:colOff>590550</xdr:colOff>
          <xdr:row>9</xdr:row>
          <xdr:rowOff>0</xdr:rowOff>
        </xdr:to>
        <xdr:sp macro="" textlink="">
          <xdr:nvSpPr>
            <xdr:cNvPr id="1087" name="Drop Dow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0</xdr:rowOff>
        </xdr:from>
        <xdr:to>
          <xdr:col>9</xdr:col>
          <xdr:colOff>533400</xdr:colOff>
          <xdr:row>11</xdr:row>
          <xdr:rowOff>0</xdr:rowOff>
        </xdr:to>
        <xdr:sp macro="" textlink="">
          <xdr:nvSpPr>
            <xdr:cNvPr id="1088" name="Drop Down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0</xdr:rowOff>
        </xdr:from>
        <xdr:to>
          <xdr:col>13</xdr:col>
          <xdr:colOff>590550</xdr:colOff>
          <xdr:row>12</xdr:row>
          <xdr:rowOff>0</xdr:rowOff>
        </xdr:to>
        <xdr:sp macro="" textlink="">
          <xdr:nvSpPr>
            <xdr:cNvPr id="1090" name="Drop Down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133350</xdr:rowOff>
        </xdr:from>
        <xdr:to>
          <xdr:col>3</xdr:col>
          <xdr:colOff>114300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71</xdr:row>
          <xdr:rowOff>133350</xdr:rowOff>
        </xdr:from>
        <xdr:to>
          <xdr:col>3</xdr:col>
          <xdr:colOff>114300</xdr:colOff>
          <xdr:row>73</xdr:row>
          <xdr:rowOff>28575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72</xdr:row>
          <xdr:rowOff>133350</xdr:rowOff>
        </xdr:from>
        <xdr:to>
          <xdr:col>3</xdr:col>
          <xdr:colOff>114300</xdr:colOff>
          <xdr:row>74</xdr:row>
          <xdr:rowOff>28575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74</xdr:row>
          <xdr:rowOff>133350</xdr:rowOff>
        </xdr:from>
        <xdr:to>
          <xdr:col>3</xdr:col>
          <xdr:colOff>114300</xdr:colOff>
          <xdr:row>76</xdr:row>
          <xdr:rowOff>28575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133350</xdr:rowOff>
        </xdr:from>
        <xdr:to>
          <xdr:col>3</xdr:col>
          <xdr:colOff>114300</xdr:colOff>
          <xdr:row>75</xdr:row>
          <xdr:rowOff>28575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76</xdr:row>
          <xdr:rowOff>133350</xdr:rowOff>
        </xdr:from>
        <xdr:to>
          <xdr:col>3</xdr:col>
          <xdr:colOff>114300</xdr:colOff>
          <xdr:row>78</xdr:row>
          <xdr:rowOff>28575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133350</xdr:rowOff>
        </xdr:from>
        <xdr:to>
          <xdr:col>3</xdr:col>
          <xdr:colOff>114300</xdr:colOff>
          <xdr:row>77</xdr:row>
          <xdr:rowOff>28575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77</xdr:row>
          <xdr:rowOff>133350</xdr:rowOff>
        </xdr:from>
        <xdr:to>
          <xdr:col>3</xdr:col>
          <xdr:colOff>114300</xdr:colOff>
          <xdr:row>79</xdr:row>
          <xdr:rowOff>28575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80</xdr:row>
          <xdr:rowOff>133350</xdr:rowOff>
        </xdr:from>
        <xdr:to>
          <xdr:col>3</xdr:col>
          <xdr:colOff>114300</xdr:colOff>
          <xdr:row>82</xdr:row>
          <xdr:rowOff>19050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81</xdr:row>
          <xdr:rowOff>133350</xdr:rowOff>
        </xdr:from>
        <xdr:to>
          <xdr:col>3</xdr:col>
          <xdr:colOff>114300</xdr:colOff>
          <xdr:row>83</xdr:row>
          <xdr:rowOff>19050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82</xdr:row>
          <xdr:rowOff>133350</xdr:rowOff>
        </xdr:from>
        <xdr:to>
          <xdr:col>3</xdr:col>
          <xdr:colOff>114300</xdr:colOff>
          <xdr:row>84</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83</xdr:row>
          <xdr:rowOff>133350</xdr:rowOff>
        </xdr:from>
        <xdr:to>
          <xdr:col>3</xdr:col>
          <xdr:colOff>114300</xdr:colOff>
          <xdr:row>85</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87</xdr:row>
          <xdr:rowOff>142875</xdr:rowOff>
        </xdr:from>
        <xdr:to>
          <xdr:col>3</xdr:col>
          <xdr:colOff>114300</xdr:colOff>
          <xdr:row>89</xdr:row>
          <xdr:rowOff>38100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88</xdr:row>
          <xdr:rowOff>133350</xdr:rowOff>
        </xdr:from>
        <xdr:to>
          <xdr:col>3</xdr:col>
          <xdr:colOff>114300</xdr:colOff>
          <xdr:row>90</xdr:row>
          <xdr:rowOff>28575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91</xdr:row>
          <xdr:rowOff>133350</xdr:rowOff>
        </xdr:from>
        <xdr:to>
          <xdr:col>3</xdr:col>
          <xdr:colOff>114300</xdr:colOff>
          <xdr:row>93</xdr:row>
          <xdr:rowOff>19050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92</xdr:row>
          <xdr:rowOff>133350</xdr:rowOff>
        </xdr:from>
        <xdr:to>
          <xdr:col>3</xdr:col>
          <xdr:colOff>114300</xdr:colOff>
          <xdr:row>94</xdr:row>
          <xdr:rowOff>19050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93</xdr:row>
          <xdr:rowOff>133350</xdr:rowOff>
        </xdr:from>
        <xdr:to>
          <xdr:col>3</xdr:col>
          <xdr:colOff>114300</xdr:colOff>
          <xdr:row>95</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94</xdr:row>
          <xdr:rowOff>133350</xdr:rowOff>
        </xdr:from>
        <xdr:to>
          <xdr:col>3</xdr:col>
          <xdr:colOff>114300</xdr:colOff>
          <xdr:row>96</xdr:row>
          <xdr:rowOff>28575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95</xdr:row>
          <xdr:rowOff>133350</xdr:rowOff>
        </xdr:from>
        <xdr:to>
          <xdr:col>3</xdr:col>
          <xdr:colOff>114300</xdr:colOff>
          <xdr:row>97</xdr:row>
          <xdr:rowOff>28575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96</xdr:row>
          <xdr:rowOff>133350</xdr:rowOff>
        </xdr:from>
        <xdr:to>
          <xdr:col>3</xdr:col>
          <xdr:colOff>114300</xdr:colOff>
          <xdr:row>98</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97</xdr:row>
          <xdr:rowOff>133350</xdr:rowOff>
        </xdr:from>
        <xdr:to>
          <xdr:col>3</xdr:col>
          <xdr:colOff>114300</xdr:colOff>
          <xdr:row>99</xdr:row>
          <xdr:rowOff>28575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98</xdr:row>
          <xdr:rowOff>133350</xdr:rowOff>
        </xdr:from>
        <xdr:to>
          <xdr:col>3</xdr:col>
          <xdr:colOff>114300</xdr:colOff>
          <xdr:row>100</xdr:row>
          <xdr:rowOff>28575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99</xdr:row>
          <xdr:rowOff>133350</xdr:rowOff>
        </xdr:from>
        <xdr:to>
          <xdr:col>3</xdr:col>
          <xdr:colOff>114300</xdr:colOff>
          <xdr:row>101</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100</xdr:row>
          <xdr:rowOff>133350</xdr:rowOff>
        </xdr:from>
        <xdr:to>
          <xdr:col>3</xdr:col>
          <xdr:colOff>114300</xdr:colOff>
          <xdr:row>102</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101</xdr:row>
          <xdr:rowOff>133350</xdr:rowOff>
        </xdr:from>
        <xdr:to>
          <xdr:col>3</xdr:col>
          <xdr:colOff>114300</xdr:colOff>
          <xdr:row>103</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102</xdr:row>
          <xdr:rowOff>133350</xdr:rowOff>
        </xdr:from>
        <xdr:to>
          <xdr:col>3</xdr:col>
          <xdr:colOff>114300</xdr:colOff>
          <xdr:row>104</xdr:row>
          <xdr:rowOff>28575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103</xdr:row>
          <xdr:rowOff>133350</xdr:rowOff>
        </xdr:from>
        <xdr:to>
          <xdr:col>3</xdr:col>
          <xdr:colOff>114300</xdr:colOff>
          <xdr:row>105</xdr:row>
          <xdr:rowOff>28575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0</xdr:rowOff>
        </xdr:from>
        <xdr:to>
          <xdr:col>13</xdr:col>
          <xdr:colOff>590550</xdr:colOff>
          <xdr:row>10</xdr:row>
          <xdr:rowOff>0</xdr:rowOff>
        </xdr:to>
        <xdr:sp macro="" textlink="">
          <xdr:nvSpPr>
            <xdr:cNvPr id="1118" name="Drop Down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52</xdr:row>
          <xdr:rowOff>133350</xdr:rowOff>
        </xdr:from>
        <xdr:to>
          <xdr:col>3</xdr:col>
          <xdr:colOff>114300</xdr:colOff>
          <xdr:row>54</xdr:row>
          <xdr:rowOff>28575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70</xdr:row>
          <xdr:rowOff>133350</xdr:rowOff>
        </xdr:from>
        <xdr:to>
          <xdr:col>3</xdr:col>
          <xdr:colOff>114300</xdr:colOff>
          <xdr:row>72</xdr:row>
          <xdr:rowOff>19050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85</xdr:row>
          <xdr:rowOff>142875</xdr:rowOff>
        </xdr:from>
        <xdr:to>
          <xdr:col>3</xdr:col>
          <xdr:colOff>114300</xdr:colOff>
          <xdr:row>87</xdr:row>
          <xdr:rowOff>38100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86</xdr:row>
          <xdr:rowOff>142875</xdr:rowOff>
        </xdr:from>
        <xdr:to>
          <xdr:col>3</xdr:col>
          <xdr:colOff>114300</xdr:colOff>
          <xdr:row>88</xdr:row>
          <xdr:rowOff>38100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133350</xdr:rowOff>
        </xdr:from>
        <xdr:to>
          <xdr:col>3</xdr:col>
          <xdr:colOff>114300</xdr:colOff>
          <xdr:row>59</xdr:row>
          <xdr:rowOff>9525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133350</xdr:rowOff>
        </xdr:from>
        <xdr:to>
          <xdr:col>3</xdr:col>
          <xdr:colOff>114300</xdr:colOff>
          <xdr:row>60</xdr:row>
          <xdr:rowOff>9525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133350</xdr:rowOff>
        </xdr:from>
        <xdr:to>
          <xdr:col>3</xdr:col>
          <xdr:colOff>114300</xdr:colOff>
          <xdr:row>62</xdr:row>
          <xdr:rowOff>28575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59</xdr:row>
          <xdr:rowOff>133350</xdr:rowOff>
        </xdr:from>
        <xdr:to>
          <xdr:col>3</xdr:col>
          <xdr:colOff>114300</xdr:colOff>
          <xdr:row>61</xdr:row>
          <xdr:rowOff>28575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61</xdr:row>
          <xdr:rowOff>133350</xdr:rowOff>
        </xdr:from>
        <xdr:to>
          <xdr:col>3</xdr:col>
          <xdr:colOff>114300</xdr:colOff>
          <xdr:row>63</xdr:row>
          <xdr:rowOff>28575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104</xdr:row>
          <xdr:rowOff>133350</xdr:rowOff>
        </xdr:from>
        <xdr:to>
          <xdr:col>3</xdr:col>
          <xdr:colOff>114300</xdr:colOff>
          <xdr:row>106</xdr:row>
          <xdr:rowOff>28575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142875</xdr:rowOff>
        </xdr:from>
        <xdr:to>
          <xdr:col>3</xdr:col>
          <xdr:colOff>123825</xdr:colOff>
          <xdr:row>56</xdr:row>
          <xdr:rowOff>28575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133350</xdr:rowOff>
        </xdr:from>
        <xdr:to>
          <xdr:col>3</xdr:col>
          <xdr:colOff>114300</xdr:colOff>
          <xdr:row>67</xdr:row>
          <xdr:rowOff>19050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66</xdr:row>
          <xdr:rowOff>133350</xdr:rowOff>
        </xdr:from>
        <xdr:to>
          <xdr:col>3</xdr:col>
          <xdr:colOff>114300</xdr:colOff>
          <xdr:row>68</xdr:row>
          <xdr:rowOff>19050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133350</xdr:rowOff>
        </xdr:from>
        <xdr:to>
          <xdr:col>3</xdr:col>
          <xdr:colOff>114300</xdr:colOff>
          <xdr:row>29</xdr:row>
          <xdr:rowOff>28575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105</xdr:row>
          <xdr:rowOff>133350</xdr:rowOff>
        </xdr:from>
        <xdr:to>
          <xdr:col>3</xdr:col>
          <xdr:colOff>114300</xdr:colOff>
          <xdr:row>107</xdr:row>
          <xdr:rowOff>19050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84</xdr:row>
          <xdr:rowOff>133350</xdr:rowOff>
        </xdr:from>
        <xdr:to>
          <xdr:col>3</xdr:col>
          <xdr:colOff>114300</xdr:colOff>
          <xdr:row>86</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133350</xdr:rowOff>
        </xdr:from>
        <xdr:to>
          <xdr:col>3</xdr:col>
          <xdr:colOff>114300</xdr:colOff>
          <xdr:row>50</xdr:row>
          <xdr:rowOff>28575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133350</xdr:rowOff>
        </xdr:from>
        <xdr:to>
          <xdr:col>3</xdr:col>
          <xdr:colOff>114300</xdr:colOff>
          <xdr:row>64</xdr:row>
          <xdr:rowOff>38100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554831</xdr:colOff>
      <xdr:row>188</xdr:row>
      <xdr:rowOff>70247</xdr:rowOff>
    </xdr:from>
    <xdr:to>
      <xdr:col>4</xdr:col>
      <xdr:colOff>802481</xdr:colOff>
      <xdr:row>188</xdr:row>
      <xdr:rowOff>279797</xdr:rowOff>
    </xdr:to>
    <xdr:sp macro="" textlink="">
      <xdr:nvSpPr>
        <xdr:cNvPr id="2" name="Rectangle 2">
          <a:extLst>
            <a:ext uri="{FF2B5EF4-FFF2-40B4-BE49-F238E27FC236}">
              <a16:creationId xmlns:a16="http://schemas.microsoft.com/office/drawing/2014/main" id="{00000000-0008-0000-0000-000002000000}"/>
            </a:ext>
          </a:extLst>
        </xdr:cNvPr>
        <xdr:cNvSpPr>
          <a:spLocks noChangeArrowheads="1"/>
        </xdr:cNvSpPr>
      </xdr:nvSpPr>
      <xdr:spPr bwMode="auto">
        <a:xfrm>
          <a:off x="1328737" y="39849028"/>
          <a:ext cx="247650" cy="209550"/>
        </a:xfrm>
        <a:prstGeom prst="rect">
          <a:avLst/>
        </a:prstGeom>
        <a:solidFill>
          <a:srgbClr val="FFFFFF"/>
        </a:solidFill>
        <a:ln w="9525">
          <a:solidFill>
            <a:srgbClr val="000000"/>
          </a:solidFill>
          <a:miter lim="800000"/>
          <a:headEnd/>
          <a:tailEnd/>
        </a:ln>
      </xdr:spPr>
    </xdr:sp>
    <xdr:clientData/>
  </xdr:twoCellAnchor>
  <xdr:twoCellAnchor>
    <xdr:from>
      <xdr:col>7</xdr:col>
      <xdr:colOff>398859</xdr:colOff>
      <xdr:row>188</xdr:row>
      <xdr:rowOff>71437</xdr:rowOff>
    </xdr:from>
    <xdr:to>
      <xdr:col>7</xdr:col>
      <xdr:colOff>646509</xdr:colOff>
      <xdr:row>188</xdr:row>
      <xdr:rowOff>280987</xdr:rowOff>
    </xdr:to>
    <xdr:sp macro="" textlink="">
      <xdr:nvSpPr>
        <xdr:cNvPr id="4" name="Rectangle 2">
          <a:extLst>
            <a:ext uri="{FF2B5EF4-FFF2-40B4-BE49-F238E27FC236}">
              <a16:creationId xmlns:a16="http://schemas.microsoft.com/office/drawing/2014/main" id="{00000000-0008-0000-0000-000004000000}"/>
            </a:ext>
          </a:extLst>
        </xdr:cNvPr>
        <xdr:cNvSpPr>
          <a:spLocks noChangeArrowheads="1"/>
        </xdr:cNvSpPr>
      </xdr:nvSpPr>
      <xdr:spPr bwMode="auto">
        <a:xfrm>
          <a:off x="3012281" y="39850218"/>
          <a:ext cx="247650" cy="20955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16" Type="http://schemas.openxmlformats.org/officeDocument/2006/relationships/ctrlProp" Target="../ctrlProps/ctrlProp12.xml"/><Relationship Id="rId11" Type="http://schemas.openxmlformats.org/officeDocument/2006/relationships/ctrlProp" Target="../ctrlProps/ctrlProp7.xml"/><Relationship Id="rId32" Type="http://schemas.openxmlformats.org/officeDocument/2006/relationships/ctrlProp" Target="../ctrlProps/ctrlProp28.xml"/><Relationship Id="rId37" Type="http://schemas.openxmlformats.org/officeDocument/2006/relationships/ctrlProp" Target="../ctrlProps/ctrlProp33.xml"/><Relationship Id="rId53" Type="http://schemas.openxmlformats.org/officeDocument/2006/relationships/ctrlProp" Target="../ctrlProps/ctrlProp49.xml"/><Relationship Id="rId58" Type="http://schemas.openxmlformats.org/officeDocument/2006/relationships/ctrlProp" Target="../ctrlProps/ctrlProp54.xml"/><Relationship Id="rId74" Type="http://schemas.openxmlformats.org/officeDocument/2006/relationships/ctrlProp" Target="../ctrlProps/ctrlProp70.xml"/><Relationship Id="rId79" Type="http://schemas.openxmlformats.org/officeDocument/2006/relationships/ctrlProp" Target="../ctrlProps/ctrlProp75.xml"/><Relationship Id="rId5" Type="http://schemas.openxmlformats.org/officeDocument/2006/relationships/ctrlProp" Target="../ctrlProps/ctrlProp1.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85" Type="http://schemas.openxmlformats.org/officeDocument/2006/relationships/ctrlProp" Target="../ctrlProps/ctrlProp81.xml"/><Relationship Id="rId3" Type="http://schemas.openxmlformats.org/officeDocument/2006/relationships/vmlDrawing" Target="../drawings/vmlDrawing1.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4" Type="http://schemas.openxmlformats.org/officeDocument/2006/relationships/vmlDrawing" Target="../drawings/vmlDrawing2.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7" Type="http://schemas.openxmlformats.org/officeDocument/2006/relationships/ctrlProp" Target="../ctrlProps/ctrlProp3.xml"/><Relationship Id="rId71" Type="http://schemas.openxmlformats.org/officeDocument/2006/relationships/ctrlProp" Target="../ctrlProps/ctrlProp67.xml"/><Relationship Id="rId2" Type="http://schemas.openxmlformats.org/officeDocument/2006/relationships/drawing" Target="../drawings/drawing1.xml"/><Relationship Id="rId29" Type="http://schemas.openxmlformats.org/officeDocument/2006/relationships/ctrlProp" Target="../ctrlProps/ctrlProp25.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61" Type="http://schemas.openxmlformats.org/officeDocument/2006/relationships/ctrlProp" Target="../ctrlProps/ctrlProp57.xml"/><Relationship Id="rId82" Type="http://schemas.openxmlformats.org/officeDocument/2006/relationships/ctrlProp" Target="../ctrlProps/ctrlProp7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R208"/>
  <sheetViews>
    <sheetView tabSelected="1" view="pageBreakPreview" zoomScale="120" zoomScaleNormal="120" zoomScaleSheetLayoutView="120" workbookViewId="0">
      <selection activeCell="E3" sqref="E3:G3"/>
    </sheetView>
  </sheetViews>
  <sheetFormatPr defaultRowHeight="12.75" x14ac:dyDescent="0.2"/>
  <cols>
    <col min="1" max="1" width="1.5703125" style="9" customWidth="1"/>
    <col min="2" max="2" width="2.85546875" style="1" customWidth="1"/>
    <col min="3" max="3" width="7" style="1" hidden="1" customWidth="1"/>
    <col min="4" max="4" width="7.85546875" style="1" customWidth="1"/>
    <col min="5" max="5" width="12.140625" style="1" customWidth="1"/>
    <col min="6" max="6" width="8.28515625" style="1" customWidth="1"/>
    <col min="7" max="7" width="7.140625" style="1" customWidth="1"/>
    <col min="8" max="10" width="9.85546875" style="1" customWidth="1"/>
    <col min="11" max="11" width="6.42578125" style="1" customWidth="1"/>
    <col min="12" max="12" width="4.5703125" style="1" customWidth="1"/>
    <col min="13" max="13" width="9" style="1" customWidth="1"/>
    <col min="14" max="14" width="11.28515625" style="1" customWidth="1"/>
    <col min="15" max="15" width="1.42578125" style="10" customWidth="1"/>
    <col min="16" max="16" width="9.140625" style="1" hidden="1" customWidth="1"/>
    <col min="17" max="41" width="12.5703125" style="1" hidden="1" customWidth="1"/>
    <col min="42" max="55" width="9.140625" style="1" hidden="1" customWidth="1"/>
    <col min="56" max="63" width="9.140625" hidden="1" customWidth="1"/>
    <col min="64" max="64" width="1.42578125" hidden="1" customWidth="1"/>
    <col min="65" max="65" width="8.42578125" hidden="1" customWidth="1"/>
    <col min="66" max="66" width="16.85546875" style="27" hidden="1" customWidth="1"/>
    <col min="67" max="67" width="6.28515625" style="27" hidden="1" customWidth="1"/>
    <col min="68" max="68" width="8.28515625" style="28" hidden="1" customWidth="1"/>
    <col min="69" max="70" width="9.140625" hidden="1" customWidth="1"/>
    <col min="71" max="93" width="9.140625" customWidth="1"/>
  </cols>
  <sheetData>
    <row r="1" spans="2:68" ht="3" customHeight="1" x14ac:dyDescent="0.2">
      <c r="B1" s="166"/>
      <c r="C1" s="166"/>
      <c r="D1" s="166"/>
      <c r="E1" s="166"/>
      <c r="F1" s="166"/>
      <c r="G1" s="166"/>
      <c r="H1" s="166"/>
      <c r="I1" s="166"/>
      <c r="J1" s="166"/>
      <c r="K1" s="166"/>
      <c r="L1" s="166"/>
      <c r="M1" s="166"/>
      <c r="N1" s="166"/>
    </row>
    <row r="2" spans="2:68" ht="15" x14ac:dyDescent="0.2">
      <c r="B2" s="174" t="s">
        <v>39</v>
      </c>
      <c r="C2" s="174"/>
      <c r="D2" s="174"/>
      <c r="E2" s="174"/>
      <c r="F2" s="174"/>
      <c r="G2" s="174"/>
      <c r="H2" s="174"/>
      <c r="I2" s="174"/>
      <c r="J2" s="174"/>
      <c r="K2" s="174"/>
      <c r="L2" s="174"/>
      <c r="M2" s="174"/>
      <c r="N2" s="174"/>
    </row>
    <row r="3" spans="2:68" ht="15.75" customHeight="1" x14ac:dyDescent="0.2">
      <c r="B3" s="169" t="s">
        <v>250</v>
      </c>
      <c r="C3" s="213"/>
      <c r="D3" s="213"/>
      <c r="E3" s="211"/>
      <c r="F3" s="211"/>
      <c r="G3" s="211"/>
      <c r="H3" s="30" t="s">
        <v>98</v>
      </c>
      <c r="I3" s="214"/>
      <c r="J3" s="214"/>
      <c r="K3" s="214"/>
      <c r="L3" s="215"/>
      <c r="M3" s="215"/>
      <c r="N3" s="215"/>
    </row>
    <row r="4" spans="2:68" ht="15.75" customHeight="1" x14ac:dyDescent="0.2">
      <c r="B4" s="212" t="s">
        <v>95</v>
      </c>
      <c r="C4" s="212"/>
      <c r="D4" s="212"/>
      <c r="E4" s="167"/>
      <c r="F4" s="217"/>
      <c r="G4" s="217"/>
      <c r="H4" s="31" t="s">
        <v>312</v>
      </c>
      <c r="I4" s="179"/>
      <c r="J4" s="216"/>
      <c r="K4" s="31" t="s">
        <v>313</v>
      </c>
      <c r="L4" s="167"/>
      <c r="M4" s="216"/>
      <c r="N4" s="216"/>
    </row>
    <row r="5" spans="2:68" ht="7.5" customHeight="1" x14ac:dyDescent="0.2">
      <c r="B5" s="172"/>
      <c r="C5" s="172"/>
      <c r="D5" s="172"/>
      <c r="E5" s="172"/>
      <c r="F5" s="172"/>
      <c r="G5" s="172"/>
      <c r="H5" s="172"/>
      <c r="I5" s="172"/>
      <c r="J5" s="172"/>
      <c r="K5" s="172"/>
      <c r="L5" s="172"/>
      <c r="M5" s="172"/>
      <c r="N5" s="172"/>
    </row>
    <row r="6" spans="2:68" ht="15" x14ac:dyDescent="0.2">
      <c r="B6" s="174" t="s">
        <v>40</v>
      </c>
      <c r="C6" s="174"/>
      <c r="D6" s="174"/>
      <c r="E6" s="174"/>
      <c r="F6" s="174"/>
      <c r="G6" s="174"/>
      <c r="H6" s="174"/>
      <c r="I6" s="174"/>
      <c r="J6" s="174"/>
      <c r="K6" s="174"/>
      <c r="L6" s="174"/>
      <c r="M6" s="174"/>
      <c r="N6" s="174"/>
      <c r="P6" s="2" t="s">
        <v>132</v>
      </c>
      <c r="Q6" s="6"/>
      <c r="S6" s="2" t="s">
        <v>130</v>
      </c>
      <c r="T6" s="2" t="s">
        <v>129</v>
      </c>
      <c r="U6" s="2" t="s">
        <v>117</v>
      </c>
      <c r="V6" s="2" t="s">
        <v>120</v>
      </c>
      <c r="W6" s="2" t="s">
        <v>185</v>
      </c>
    </row>
    <row r="7" spans="2:68" ht="15.75" customHeight="1" x14ac:dyDescent="0.2">
      <c r="B7" s="32" t="s">
        <v>100</v>
      </c>
      <c r="C7" s="32"/>
      <c r="D7" s="33"/>
      <c r="E7" s="173"/>
      <c r="F7" s="173"/>
      <c r="G7" s="169" t="s">
        <v>128</v>
      </c>
      <c r="H7" s="169"/>
      <c r="I7" s="34"/>
      <c r="J7" s="35" t="s">
        <v>127</v>
      </c>
      <c r="K7" s="36" t="s">
        <v>41</v>
      </c>
      <c r="L7" s="37"/>
      <c r="M7" s="178" t="str">
        <f>Q8</f>
        <v/>
      </c>
      <c r="N7" s="178"/>
      <c r="P7" s="1" t="s">
        <v>130</v>
      </c>
      <c r="Q7" s="5">
        <v>9</v>
      </c>
      <c r="R7" s="1">
        <v>1</v>
      </c>
      <c r="S7" s="3" t="s">
        <v>110</v>
      </c>
      <c r="T7" s="3" t="s">
        <v>114</v>
      </c>
      <c r="U7" s="3" t="s">
        <v>118</v>
      </c>
      <c r="V7" s="1" t="s">
        <v>124</v>
      </c>
      <c r="W7" s="6">
        <v>4</v>
      </c>
    </row>
    <row r="8" spans="2:68" ht="15.75" customHeight="1" x14ac:dyDescent="0.2">
      <c r="B8" s="38" t="s">
        <v>101</v>
      </c>
      <c r="C8" s="38"/>
      <c r="D8" s="39"/>
      <c r="E8" s="167"/>
      <c r="F8" s="168"/>
      <c r="G8" s="170" t="s">
        <v>42</v>
      </c>
      <c r="H8" s="170"/>
      <c r="I8" s="40"/>
      <c r="J8" s="41" t="s">
        <v>127</v>
      </c>
      <c r="K8" s="39" t="s">
        <v>58</v>
      </c>
      <c r="L8" s="42"/>
      <c r="M8" s="179"/>
      <c r="N8" s="180"/>
      <c r="Q8" s="1" t="str">
        <f>IF($Q$7=1,S7,IF($Q$7=2,S8,IF($Q$7=3,S9,IF($Q$7=4,S10,IF($Q$7=5,S11,IF($Q$7=6,S12,IF($Q$7=7,S13,IF($Q$7=8,S14,""))))))))</f>
        <v/>
      </c>
      <c r="R8" s="1">
        <v>2</v>
      </c>
      <c r="S8" s="3" t="s">
        <v>61</v>
      </c>
      <c r="T8" s="3" t="s">
        <v>116</v>
      </c>
      <c r="U8" s="3" t="s">
        <v>119</v>
      </c>
      <c r="V8" s="1" t="s">
        <v>121</v>
      </c>
      <c r="W8" s="6">
        <v>6</v>
      </c>
    </row>
    <row r="9" spans="2:68" ht="15.75" customHeight="1" x14ac:dyDescent="0.2">
      <c r="B9" s="38" t="s">
        <v>102</v>
      </c>
      <c r="C9" s="38"/>
      <c r="D9" s="39"/>
      <c r="E9" s="167"/>
      <c r="F9" s="168"/>
      <c r="G9" s="170" t="s">
        <v>107</v>
      </c>
      <c r="H9" s="170"/>
      <c r="I9" s="43"/>
      <c r="J9" s="41"/>
      <c r="K9" s="44" t="s">
        <v>105</v>
      </c>
      <c r="L9" s="42"/>
      <c r="M9" s="175" t="str">
        <f>Q10</f>
        <v>Volvo DP</v>
      </c>
      <c r="N9" s="175"/>
      <c r="P9" s="1" t="s">
        <v>129</v>
      </c>
      <c r="Q9" s="8">
        <v>8</v>
      </c>
      <c r="R9" s="1">
        <v>3</v>
      </c>
      <c r="S9" s="3" t="s">
        <v>109</v>
      </c>
      <c r="T9" s="3" t="s">
        <v>115</v>
      </c>
      <c r="U9" s="3"/>
      <c r="V9" s="1" t="s">
        <v>122</v>
      </c>
      <c r="W9" s="6">
        <v>8</v>
      </c>
    </row>
    <row r="10" spans="2:68" ht="15.75" customHeight="1" x14ac:dyDescent="0.2">
      <c r="B10" s="38" t="s">
        <v>103</v>
      </c>
      <c r="C10" s="38"/>
      <c r="D10" s="39"/>
      <c r="E10" s="167"/>
      <c r="F10" s="168"/>
      <c r="G10" s="171" t="s">
        <v>133</v>
      </c>
      <c r="H10" s="171"/>
      <c r="I10" s="45"/>
      <c r="J10" s="46" t="s">
        <v>126</v>
      </c>
      <c r="K10" s="39" t="s">
        <v>199</v>
      </c>
      <c r="L10" s="42"/>
      <c r="M10" s="176"/>
      <c r="N10" s="176"/>
      <c r="Q10" s="4" t="str">
        <f>IF($Q$9=1,T7,IF($Q$9=2,T8,IF($Q$9=3,T9,IF($Q$9=4,T10,IF($Q$9=5,T11,IF($Q$9=6,T12,IF($Q$9=7,T13,IF($Q$9=8,T14,IF($Q$9=9,T15,IF($Q$9=10,T16,""))))))))))</f>
        <v>Volvo DP</v>
      </c>
      <c r="R10" s="1">
        <v>4</v>
      </c>
      <c r="S10" s="3" t="s">
        <v>59</v>
      </c>
      <c r="T10" s="3" t="s">
        <v>113</v>
      </c>
      <c r="U10" s="3"/>
      <c r="V10" s="1" t="s">
        <v>125</v>
      </c>
      <c r="W10" s="6" t="s">
        <v>112</v>
      </c>
    </row>
    <row r="11" spans="2:68" ht="15.75" customHeight="1" x14ac:dyDescent="0.2">
      <c r="B11" s="38" t="s">
        <v>104</v>
      </c>
      <c r="C11" s="38"/>
      <c r="D11" s="39"/>
      <c r="E11" s="167"/>
      <c r="F11" s="168"/>
      <c r="G11" s="171" t="s">
        <v>106</v>
      </c>
      <c r="H11" s="171"/>
      <c r="I11" s="47" t="str">
        <f>Q14</f>
        <v>Gas</v>
      </c>
      <c r="J11" s="46"/>
      <c r="K11" s="38" t="s">
        <v>53</v>
      </c>
      <c r="L11" s="48"/>
      <c r="M11" s="177"/>
      <c r="N11" s="177"/>
      <c r="P11" s="1" t="s">
        <v>131</v>
      </c>
      <c r="Q11" s="5">
        <v>7</v>
      </c>
      <c r="R11" s="1">
        <v>5</v>
      </c>
      <c r="S11" s="3" t="s">
        <v>52</v>
      </c>
      <c r="T11" s="3" t="s">
        <v>187</v>
      </c>
      <c r="U11" s="3"/>
      <c r="V11" s="1" t="s">
        <v>123</v>
      </c>
    </row>
    <row r="12" spans="2:68" ht="15.75" customHeight="1" x14ac:dyDescent="0.2">
      <c r="B12" s="38" t="s">
        <v>200</v>
      </c>
      <c r="C12" s="38"/>
      <c r="D12" s="39"/>
      <c r="E12" s="167"/>
      <c r="F12" s="168"/>
      <c r="G12" s="171" t="s">
        <v>201</v>
      </c>
      <c r="H12" s="171"/>
      <c r="I12" s="167"/>
      <c r="J12" s="167"/>
      <c r="K12" s="39" t="s">
        <v>120</v>
      </c>
      <c r="L12" s="48"/>
      <c r="M12" s="175" t="str">
        <f>Q12</f>
        <v/>
      </c>
      <c r="N12" s="175"/>
      <c r="Q12" s="4" t="str">
        <f>IF($Q$11=1,V7,IF($Q$11=2,V8,IF($Q$11=3,V9,IF($Q$11=4,V10,IF($Q$11=5,V11,IF($Q$11=6,V12,""))))))</f>
        <v/>
      </c>
      <c r="R12" s="1">
        <v>6</v>
      </c>
      <c r="S12" s="3" t="s">
        <v>60</v>
      </c>
      <c r="T12" s="3" t="s">
        <v>188</v>
      </c>
      <c r="U12" s="3"/>
      <c r="V12" s="1" t="s">
        <v>112</v>
      </c>
    </row>
    <row r="13" spans="2:68" ht="15.75" customHeight="1" x14ac:dyDescent="0.2">
      <c r="B13" s="49" t="s">
        <v>336</v>
      </c>
      <c r="C13" s="49"/>
      <c r="D13" s="50"/>
      <c r="E13" s="167"/>
      <c r="F13" s="167"/>
      <c r="G13" s="171" t="s">
        <v>338</v>
      </c>
      <c r="H13" s="171"/>
      <c r="I13" s="167"/>
      <c r="J13" s="167"/>
      <c r="K13" s="212" t="s">
        <v>376</v>
      </c>
      <c r="L13" s="212"/>
      <c r="M13" s="167"/>
      <c r="N13" s="168"/>
      <c r="P13" s="1" t="s">
        <v>117</v>
      </c>
      <c r="Q13" s="8">
        <v>1</v>
      </c>
      <c r="R13" s="1">
        <v>7</v>
      </c>
      <c r="S13" s="3" t="s">
        <v>111</v>
      </c>
      <c r="T13" s="3" t="s">
        <v>189</v>
      </c>
      <c r="U13" s="3"/>
      <c r="V13" s="1" t="s">
        <v>236</v>
      </c>
    </row>
    <row r="14" spans="2:68" ht="7.5" customHeight="1" x14ac:dyDescent="0.2">
      <c r="B14" s="222"/>
      <c r="C14" s="222"/>
      <c r="D14" s="222"/>
      <c r="E14" s="222"/>
      <c r="F14" s="222"/>
      <c r="G14" s="222"/>
      <c r="H14" s="222"/>
      <c r="I14" s="222"/>
      <c r="J14" s="222"/>
      <c r="K14" s="222"/>
      <c r="L14" s="222"/>
      <c r="M14" s="222"/>
      <c r="N14" s="222"/>
      <c r="Q14" s="1" t="str">
        <f>IF($Q$13=1,U7,IF($Q$13=2,U8,""))</f>
        <v>Gas</v>
      </c>
      <c r="R14" s="1">
        <v>8</v>
      </c>
      <c r="S14" s="3" t="s">
        <v>112</v>
      </c>
      <c r="T14" s="3" t="s">
        <v>190</v>
      </c>
      <c r="U14" s="3"/>
    </row>
    <row r="15" spans="2:68" ht="15.75" customHeight="1" x14ac:dyDescent="0.2">
      <c r="B15" s="221" t="s">
        <v>262</v>
      </c>
      <c r="C15" s="221"/>
      <c r="D15" s="221"/>
      <c r="E15" s="221"/>
      <c r="F15" s="221"/>
      <c r="G15" s="221"/>
      <c r="H15" s="221"/>
      <c r="I15" s="221"/>
      <c r="J15" s="221"/>
      <c r="K15" s="221"/>
      <c r="L15" s="221"/>
      <c r="M15" s="221"/>
      <c r="N15" s="221"/>
      <c r="P15" s="1" t="s">
        <v>185</v>
      </c>
      <c r="Q15" s="7">
        <v>3</v>
      </c>
      <c r="R15" s="1">
        <v>9</v>
      </c>
      <c r="T15" s="1" t="s">
        <v>371</v>
      </c>
      <c r="U15" s="3"/>
      <c r="BP15" s="29" t="s">
        <v>334</v>
      </c>
    </row>
    <row r="16" spans="2:68" ht="7.5" customHeight="1" x14ac:dyDescent="0.2">
      <c r="B16" s="172"/>
      <c r="C16" s="172"/>
      <c r="D16" s="172"/>
      <c r="E16" s="172"/>
      <c r="F16" s="172"/>
      <c r="G16" s="172"/>
      <c r="H16" s="172"/>
      <c r="I16" s="172"/>
      <c r="J16" s="172"/>
      <c r="K16" s="172"/>
      <c r="L16" s="172"/>
      <c r="M16" s="172"/>
      <c r="N16" s="172"/>
      <c r="Q16" s="6">
        <f>IF($Q$15=1,W7,IF($Q$15=2,W8,IF($Q$15=3,W9,IF($Q$15=2,W10,""))))</f>
        <v>8</v>
      </c>
      <c r="S16" s="3"/>
      <c r="T16" s="1" t="s">
        <v>112</v>
      </c>
      <c r="U16" s="3"/>
    </row>
    <row r="17" spans="2:68" x14ac:dyDescent="0.2">
      <c r="B17" s="20" t="s">
        <v>303</v>
      </c>
      <c r="C17" s="20"/>
      <c r="D17" s="21"/>
      <c r="E17" s="21"/>
      <c r="F17" s="22"/>
      <c r="G17" s="51" t="s">
        <v>64</v>
      </c>
      <c r="H17" s="51" t="s">
        <v>47</v>
      </c>
      <c r="I17" s="51" t="s">
        <v>287</v>
      </c>
      <c r="J17" s="52"/>
      <c r="K17" s="52"/>
      <c r="L17" s="52"/>
      <c r="M17" s="53" t="s">
        <v>252</v>
      </c>
      <c r="N17" s="54">
        <f>SUM(I18:I24)</f>
        <v>0</v>
      </c>
    </row>
    <row r="18" spans="2:68" s="9" customFormat="1" ht="13.5" customHeight="1" x14ac:dyDescent="0.2">
      <c r="B18" s="10"/>
      <c r="C18" s="13" t="b">
        <v>0</v>
      </c>
      <c r="D18" s="10" t="s">
        <v>291</v>
      </c>
      <c r="E18" s="14" t="s">
        <v>43</v>
      </c>
      <c r="F18" s="14"/>
      <c r="G18" s="55">
        <f>IF(AND($I$7&gt;0, $I$7&lt;23,C18=TRUE),$I$7,0)</f>
        <v>0</v>
      </c>
      <c r="H18" s="56">
        <v>10</v>
      </c>
      <c r="I18" s="57">
        <f t="shared" ref="I18:I24" si="0">G18*H18</f>
        <v>0</v>
      </c>
      <c r="J18" s="208" t="s">
        <v>320</v>
      </c>
      <c r="K18" s="208"/>
      <c r="L18" s="208"/>
      <c r="M18" s="208"/>
      <c r="N18" s="208"/>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N18" s="62"/>
      <c r="BO18" s="62"/>
      <c r="BP18" s="63">
        <f>H18</f>
        <v>10</v>
      </c>
    </row>
    <row r="19" spans="2:68" s="9" customFormat="1" x14ac:dyDescent="0.2">
      <c r="B19" s="10"/>
      <c r="C19" s="13" t="b">
        <v>0</v>
      </c>
      <c r="D19" s="17" t="s">
        <v>291</v>
      </c>
      <c r="E19" s="19" t="s">
        <v>44</v>
      </c>
      <c r="F19" s="19"/>
      <c r="G19" s="58">
        <f>IF(AND($I$7&gt;22, $I$7&lt;30,C19=TRUE),$I$7,0)</f>
        <v>0</v>
      </c>
      <c r="H19" s="59">
        <v>12</v>
      </c>
      <c r="I19" s="60">
        <f t="shared" si="0"/>
        <v>0</v>
      </c>
      <c r="J19" s="209"/>
      <c r="K19" s="209"/>
      <c r="L19" s="209"/>
      <c r="M19" s="209"/>
      <c r="N19" s="209"/>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N19" s="62"/>
      <c r="BO19" s="62"/>
      <c r="BP19" s="63">
        <f t="shared" ref="BP19:BP24" si="1">H19</f>
        <v>12</v>
      </c>
    </row>
    <row r="20" spans="2:68" s="9" customFormat="1" ht="12.75" hidden="1" customHeight="1" x14ac:dyDescent="0.2">
      <c r="B20" s="10"/>
      <c r="C20" s="13"/>
      <c r="D20" s="17"/>
      <c r="E20" s="19"/>
      <c r="F20" s="19"/>
      <c r="G20" s="58"/>
      <c r="H20" s="59"/>
      <c r="I20" s="60"/>
      <c r="J20" s="209"/>
      <c r="K20" s="209"/>
      <c r="L20" s="209"/>
      <c r="M20" s="209"/>
      <c r="N20" s="209"/>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N20" s="62"/>
      <c r="BO20" s="62"/>
      <c r="BP20" s="63">
        <f t="shared" si="1"/>
        <v>0</v>
      </c>
    </row>
    <row r="21" spans="2:68" s="9" customFormat="1" x14ac:dyDescent="0.2">
      <c r="B21" s="10"/>
      <c r="C21" s="13" t="b">
        <v>0</v>
      </c>
      <c r="D21" s="17" t="s">
        <v>291</v>
      </c>
      <c r="E21" s="19" t="s">
        <v>271</v>
      </c>
      <c r="F21" s="19"/>
      <c r="G21" s="58">
        <f>IF(AND($I$7&gt;29, $I$7&lt;40,C21=TRUE),$I$7,0)</f>
        <v>0</v>
      </c>
      <c r="H21" s="59">
        <v>14</v>
      </c>
      <c r="I21" s="60">
        <f t="shared" si="0"/>
        <v>0</v>
      </c>
      <c r="J21" s="209"/>
      <c r="K21" s="209"/>
      <c r="L21" s="209"/>
      <c r="M21" s="209"/>
      <c r="N21" s="209"/>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N21" s="62"/>
      <c r="BO21" s="62"/>
      <c r="BP21" s="63">
        <f t="shared" si="1"/>
        <v>14</v>
      </c>
    </row>
    <row r="22" spans="2:68" s="9" customFormat="1" x14ac:dyDescent="0.2">
      <c r="B22" s="10"/>
      <c r="C22" s="13" t="b">
        <v>0</v>
      </c>
      <c r="D22" s="17" t="s">
        <v>291</v>
      </c>
      <c r="E22" s="19" t="s">
        <v>45</v>
      </c>
      <c r="F22" s="19"/>
      <c r="G22" s="58">
        <f>IF(AND($I$7&gt;39, $I$7&lt;50,C22=TRUE),$I$7,0)</f>
        <v>0</v>
      </c>
      <c r="H22" s="59">
        <v>16</v>
      </c>
      <c r="I22" s="60">
        <f t="shared" si="0"/>
        <v>0</v>
      </c>
      <c r="J22" s="209"/>
      <c r="K22" s="209"/>
      <c r="L22" s="209"/>
      <c r="M22" s="209"/>
      <c r="N22" s="209"/>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N22" s="62"/>
      <c r="BO22" s="62"/>
      <c r="BP22" s="63">
        <f t="shared" si="1"/>
        <v>16</v>
      </c>
    </row>
    <row r="23" spans="2:68" s="9" customFormat="1" x14ac:dyDescent="0.2">
      <c r="B23" s="10"/>
      <c r="C23" s="13" t="b">
        <v>0</v>
      </c>
      <c r="D23" s="17" t="s">
        <v>291</v>
      </c>
      <c r="E23" s="19" t="s">
        <v>49</v>
      </c>
      <c r="F23" s="19"/>
      <c r="G23" s="58">
        <f>IF(AND($I$7&gt;49, $I$7&lt;61,C23=TRUE),$I$7,0)</f>
        <v>0</v>
      </c>
      <c r="H23" s="59">
        <v>18</v>
      </c>
      <c r="I23" s="60">
        <f t="shared" si="0"/>
        <v>0</v>
      </c>
      <c r="J23" s="209"/>
      <c r="K23" s="209"/>
      <c r="L23" s="209"/>
      <c r="M23" s="209"/>
      <c r="N23" s="209"/>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N23" s="62"/>
      <c r="BO23" s="62"/>
      <c r="BP23" s="63">
        <f t="shared" si="1"/>
        <v>18</v>
      </c>
    </row>
    <row r="24" spans="2:68" s="9" customFormat="1" ht="12.75" customHeight="1" x14ac:dyDescent="0.2">
      <c r="B24" s="10"/>
      <c r="C24" s="13" t="b">
        <v>1</v>
      </c>
      <c r="D24" s="17" t="s">
        <v>46</v>
      </c>
      <c r="E24" s="19" t="s">
        <v>48</v>
      </c>
      <c r="F24" s="19"/>
      <c r="G24" s="58">
        <f>SUM(G18:G23)</f>
        <v>0</v>
      </c>
      <c r="H24" s="59">
        <v>3</v>
      </c>
      <c r="I24" s="60">
        <f t="shared" si="0"/>
        <v>0</v>
      </c>
      <c r="J24" s="209"/>
      <c r="K24" s="209"/>
      <c r="L24" s="209"/>
      <c r="M24" s="209"/>
      <c r="N24" s="209"/>
      <c r="O24" s="10"/>
      <c r="P24" s="10"/>
      <c r="Q24" s="64"/>
      <c r="R24" s="64"/>
      <c r="S24" s="65"/>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N24" s="62"/>
      <c r="BO24" s="62"/>
      <c r="BP24" s="63">
        <f t="shared" si="1"/>
        <v>3</v>
      </c>
    </row>
    <row r="25" spans="2:68" s="9" customFormat="1" ht="7.5" customHeight="1" x14ac:dyDescent="0.2">
      <c r="B25" s="172"/>
      <c r="C25" s="172"/>
      <c r="D25" s="172"/>
      <c r="E25" s="172"/>
      <c r="F25" s="172"/>
      <c r="G25" s="172"/>
      <c r="H25" s="172"/>
      <c r="I25" s="172"/>
      <c r="J25" s="172"/>
      <c r="K25" s="172"/>
      <c r="L25" s="172"/>
      <c r="M25" s="172"/>
      <c r="N25" s="172"/>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N25" s="62"/>
      <c r="BO25" s="62"/>
      <c r="BP25" s="63"/>
    </row>
    <row r="26" spans="2:68" x14ac:dyDescent="0.2">
      <c r="B26" s="20" t="s">
        <v>304</v>
      </c>
      <c r="C26" s="23"/>
      <c r="D26" s="24"/>
      <c r="E26" s="24"/>
      <c r="F26" s="23"/>
      <c r="G26" s="51" t="s">
        <v>64</v>
      </c>
      <c r="H26" s="51" t="s">
        <v>47</v>
      </c>
      <c r="I26" s="51" t="s">
        <v>287</v>
      </c>
      <c r="J26" s="52"/>
      <c r="K26" s="54"/>
      <c r="L26" s="54"/>
      <c r="M26" s="53" t="s">
        <v>252</v>
      </c>
      <c r="N26" s="54">
        <f>SUM(I27:I29)</f>
        <v>0</v>
      </c>
    </row>
    <row r="27" spans="2:68" s="9" customFormat="1" ht="13.5" customHeight="1" x14ac:dyDescent="0.2">
      <c r="B27" s="10"/>
      <c r="C27" s="15" t="b">
        <v>0</v>
      </c>
      <c r="D27" s="10" t="s">
        <v>134</v>
      </c>
      <c r="E27" s="10"/>
      <c r="F27" s="10"/>
      <c r="G27" s="55">
        <f>IF(AND($I$7&gt;0, $I$7&lt;61,C27=TRUE),$I$7,0)</f>
        <v>0</v>
      </c>
      <c r="H27" s="66">
        <v>7.5</v>
      </c>
      <c r="I27" s="66">
        <f>G27*H27</f>
        <v>0</v>
      </c>
      <c r="J27" s="208" t="s">
        <v>307</v>
      </c>
      <c r="K27" s="208"/>
      <c r="L27" s="208"/>
      <c r="M27" s="208"/>
      <c r="N27" s="208"/>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N27" s="62">
        <v>7</v>
      </c>
      <c r="BO27" s="62"/>
      <c r="BP27" s="63">
        <v>7</v>
      </c>
    </row>
    <row r="28" spans="2:68" s="9" customFormat="1" ht="12.75" customHeight="1" x14ac:dyDescent="0.2">
      <c r="B28" s="10"/>
      <c r="C28" s="15" t="b">
        <v>0</v>
      </c>
      <c r="D28" s="17" t="s">
        <v>93</v>
      </c>
      <c r="E28" s="17"/>
      <c r="F28" s="17"/>
      <c r="G28" s="58">
        <f>IF(AND($I$7&gt;0, $I$7&lt;61,C28=TRUE),$I$7,0)</f>
        <v>0</v>
      </c>
      <c r="H28" s="67">
        <v>14</v>
      </c>
      <c r="I28" s="67">
        <f>G28*H28</f>
        <v>0</v>
      </c>
      <c r="J28" s="209"/>
      <c r="K28" s="209"/>
      <c r="L28" s="209"/>
      <c r="M28" s="209"/>
      <c r="N28" s="209"/>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N28" s="62">
        <v>13</v>
      </c>
      <c r="BO28" s="62"/>
      <c r="BP28" s="63">
        <v>13</v>
      </c>
    </row>
    <row r="29" spans="2:68" s="9" customFormat="1" ht="12.75" customHeight="1" x14ac:dyDescent="0.2">
      <c r="B29" s="10"/>
      <c r="C29" s="15" t="b">
        <v>0</v>
      </c>
      <c r="D29" s="17" t="s">
        <v>298</v>
      </c>
      <c r="E29" s="17"/>
      <c r="F29" s="17"/>
      <c r="G29" s="58">
        <f>IF(AND($I$7&gt;0, $I$7&lt;61,C29=TRUE),$I$7,0)</f>
        <v>0</v>
      </c>
      <c r="H29" s="67">
        <v>0</v>
      </c>
      <c r="I29" s="67">
        <v>0</v>
      </c>
      <c r="J29" s="209"/>
      <c r="K29" s="209"/>
      <c r="L29" s="209"/>
      <c r="M29" s="209"/>
      <c r="N29" s="209"/>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N29" s="62"/>
      <c r="BO29" s="62"/>
      <c r="BP29" s="63"/>
    </row>
    <row r="30" spans="2:68" s="9" customFormat="1" ht="7.5" customHeight="1" x14ac:dyDescent="0.2">
      <c r="B30" s="172"/>
      <c r="C30" s="172"/>
      <c r="D30" s="172"/>
      <c r="E30" s="172"/>
      <c r="F30" s="172"/>
      <c r="G30" s="172"/>
      <c r="H30" s="172"/>
      <c r="I30" s="172"/>
      <c r="J30" s="172"/>
      <c r="K30" s="172"/>
      <c r="L30" s="172"/>
      <c r="M30" s="172"/>
      <c r="N30" s="172"/>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N30" s="62"/>
      <c r="BO30" s="62"/>
      <c r="BP30" s="63"/>
    </row>
    <row r="31" spans="2:68" x14ac:dyDescent="0.2">
      <c r="B31" s="20" t="s">
        <v>305</v>
      </c>
      <c r="C31" s="23"/>
      <c r="D31" s="24"/>
      <c r="E31" s="24"/>
      <c r="F31" s="23"/>
      <c r="G31" s="51" t="s">
        <v>64</v>
      </c>
      <c r="H31" s="51" t="s">
        <v>47</v>
      </c>
      <c r="I31" s="51" t="s">
        <v>287</v>
      </c>
      <c r="J31" s="52"/>
      <c r="K31" s="54"/>
      <c r="L31" s="54"/>
      <c r="M31" s="53" t="s">
        <v>253</v>
      </c>
      <c r="N31" s="68">
        <f>SUM(I32:I35)</f>
        <v>0</v>
      </c>
    </row>
    <row r="32" spans="2:68" s="9" customFormat="1" ht="13.5" customHeight="1" x14ac:dyDescent="0.2">
      <c r="B32" s="10"/>
      <c r="C32" s="15" t="b">
        <v>0</v>
      </c>
      <c r="D32" s="10" t="s">
        <v>260</v>
      </c>
      <c r="E32" s="10"/>
      <c r="F32" s="10"/>
      <c r="G32" s="69">
        <f>IF(AND($I$7&gt;0, $I$7&lt;61,C32=TRUE),$I$7*$I$8,0)</f>
        <v>0</v>
      </c>
      <c r="H32" s="66">
        <v>3.5</v>
      </c>
      <c r="I32" s="66">
        <f>G32*H32</f>
        <v>0</v>
      </c>
      <c r="J32" s="208" t="s">
        <v>308</v>
      </c>
      <c r="K32" s="208"/>
      <c r="L32" s="208"/>
      <c r="M32" s="208"/>
      <c r="N32" s="208"/>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N32" s="62">
        <v>3.25</v>
      </c>
      <c r="BO32" s="62"/>
      <c r="BP32" s="63">
        <v>3.05</v>
      </c>
    </row>
    <row r="33" spans="2:68" s="9" customFormat="1" x14ac:dyDescent="0.2">
      <c r="B33" s="10"/>
      <c r="C33" s="15" t="b">
        <v>0</v>
      </c>
      <c r="D33" s="17" t="s">
        <v>108</v>
      </c>
      <c r="E33" s="17"/>
      <c r="F33" s="17"/>
      <c r="G33" s="70">
        <f>IF(AND($I$7&gt;0, $I$7&lt;61,C33=TRUE,C32=TRUE),1,0)</f>
        <v>0</v>
      </c>
      <c r="H33" s="67">
        <v>120</v>
      </c>
      <c r="I33" s="67">
        <f>G33*H33</f>
        <v>0</v>
      </c>
      <c r="J33" s="209"/>
      <c r="K33" s="209"/>
      <c r="L33" s="209"/>
      <c r="M33" s="209"/>
      <c r="N33" s="209"/>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N33" s="62">
        <v>100</v>
      </c>
      <c r="BO33" s="62"/>
      <c r="BP33" s="63">
        <f t="shared" ref="BP33:BP34" si="2">BN33</f>
        <v>100</v>
      </c>
    </row>
    <row r="34" spans="2:68" s="9" customFormat="1" x14ac:dyDescent="0.2">
      <c r="B34" s="10"/>
      <c r="C34" s="15" t="b">
        <v>0</v>
      </c>
      <c r="D34" s="17" t="s">
        <v>92</v>
      </c>
      <c r="E34" s="17"/>
      <c r="F34" s="17"/>
      <c r="G34" s="70">
        <f>IF(AND($I$7&gt;0, $I$7&lt;61,C34=TRUE,C32=TRUE),1,0)</f>
        <v>0</v>
      </c>
      <c r="H34" s="67">
        <v>165</v>
      </c>
      <c r="I34" s="67">
        <f>G34*H34</f>
        <v>0</v>
      </c>
      <c r="J34" s="209"/>
      <c r="K34" s="209"/>
      <c r="L34" s="209"/>
      <c r="M34" s="209"/>
      <c r="N34" s="209"/>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N34" s="62">
        <v>145</v>
      </c>
      <c r="BO34" s="62"/>
      <c r="BP34" s="63">
        <f t="shared" si="2"/>
        <v>145</v>
      </c>
    </row>
    <row r="35" spans="2:68" s="9" customFormat="1" ht="12.75" customHeight="1" x14ac:dyDescent="0.2">
      <c r="B35" s="10"/>
      <c r="C35" s="15" t="b">
        <v>0</v>
      </c>
      <c r="D35" s="17" t="s">
        <v>211</v>
      </c>
      <c r="E35" s="17"/>
      <c r="F35" s="17"/>
      <c r="G35" s="71">
        <v>1</v>
      </c>
      <c r="H35" s="67">
        <v>14.99</v>
      </c>
      <c r="I35" s="67">
        <f>IF(AND($I$7&gt;0, $I$7&lt;61,C35=TRUE),G35*H35,0)</f>
        <v>0</v>
      </c>
      <c r="J35" s="209"/>
      <c r="K35" s="209"/>
      <c r="L35" s="209"/>
      <c r="M35" s="209"/>
      <c r="N35" s="209"/>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N35" s="62">
        <v>9.3949999999999996</v>
      </c>
      <c r="BO35" s="62"/>
      <c r="BP35" s="63">
        <v>14.95</v>
      </c>
    </row>
    <row r="36" spans="2:68" s="9" customFormat="1" ht="7.5" customHeight="1" x14ac:dyDescent="0.2">
      <c r="B36" s="172" t="s">
        <v>4</v>
      </c>
      <c r="C36" s="172"/>
      <c r="D36" s="172"/>
      <c r="E36" s="172"/>
      <c r="F36" s="172"/>
      <c r="G36" s="172"/>
      <c r="H36" s="172"/>
      <c r="I36" s="172"/>
      <c r="J36" s="172"/>
      <c r="K36" s="172"/>
      <c r="L36" s="172"/>
      <c r="M36" s="172"/>
      <c r="N36" s="172"/>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N36" s="62"/>
      <c r="BO36" s="62"/>
      <c r="BP36" s="63"/>
    </row>
    <row r="37" spans="2:68" x14ac:dyDescent="0.2">
      <c r="B37" s="20" t="s">
        <v>306</v>
      </c>
      <c r="C37" s="23"/>
      <c r="D37" s="23"/>
      <c r="E37" s="23"/>
      <c r="F37" s="23"/>
      <c r="G37" s="51" t="s">
        <v>64</v>
      </c>
      <c r="H37" s="51" t="s">
        <v>47</v>
      </c>
      <c r="I37" s="51" t="s">
        <v>287</v>
      </c>
      <c r="J37" s="72"/>
      <c r="K37" s="54"/>
      <c r="L37" s="54"/>
      <c r="M37" s="53" t="s">
        <v>252</v>
      </c>
      <c r="N37" s="68">
        <f>SUM(I38:I43)</f>
        <v>0</v>
      </c>
    </row>
    <row r="38" spans="2:68" s="9" customFormat="1" ht="13.5" customHeight="1" x14ac:dyDescent="0.2">
      <c r="B38" s="10"/>
      <c r="C38" s="15" t="b">
        <v>0</v>
      </c>
      <c r="D38" s="10" t="s">
        <v>263</v>
      </c>
      <c r="E38" s="10"/>
      <c r="F38" s="14" t="s">
        <v>256</v>
      </c>
      <c r="G38" s="69">
        <f>IF(AND($I$7&gt;0, $I$7&lt;26,C38=TRUE),$I$7,0)</f>
        <v>0</v>
      </c>
      <c r="H38" s="66">
        <v>29</v>
      </c>
      <c r="I38" s="66">
        <f t="shared" ref="I38:I43" si="3">G38*H38</f>
        <v>0</v>
      </c>
      <c r="J38" s="208" t="s">
        <v>321</v>
      </c>
      <c r="K38" s="208"/>
      <c r="L38" s="208"/>
      <c r="M38" s="208"/>
      <c r="N38" s="208"/>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N38" s="62">
        <f>H38*1.05</f>
        <v>30.450000000000003</v>
      </c>
      <c r="BO38" s="62"/>
      <c r="BP38" s="63">
        <v>29</v>
      </c>
    </row>
    <row r="39" spans="2:68" s="9" customFormat="1" x14ac:dyDescent="0.2">
      <c r="B39" s="10"/>
      <c r="C39" s="15" t="b">
        <v>0</v>
      </c>
      <c r="D39" s="17" t="s">
        <v>263</v>
      </c>
      <c r="E39" s="17"/>
      <c r="F39" s="19" t="s">
        <v>257</v>
      </c>
      <c r="G39" s="70">
        <f>IF(AND($I$7&gt;25, $I$7&lt;30,C39=TRUE),$I$7,0)</f>
        <v>0</v>
      </c>
      <c r="H39" s="67">
        <v>32</v>
      </c>
      <c r="I39" s="67">
        <f t="shared" si="3"/>
        <v>0</v>
      </c>
      <c r="J39" s="209"/>
      <c r="K39" s="209"/>
      <c r="L39" s="209"/>
      <c r="M39" s="209"/>
      <c r="N39" s="209"/>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N39" s="62">
        <f t="shared" ref="BN39:BN43" si="4">H39*1.05</f>
        <v>33.6</v>
      </c>
      <c r="BO39" s="62"/>
      <c r="BP39" s="63">
        <v>32</v>
      </c>
    </row>
    <row r="40" spans="2:68" s="9" customFormat="1" x14ac:dyDescent="0.2">
      <c r="B40" s="10"/>
      <c r="C40" s="15" t="b">
        <v>0</v>
      </c>
      <c r="D40" s="17" t="s">
        <v>263</v>
      </c>
      <c r="E40" s="17"/>
      <c r="F40" s="19" t="s">
        <v>258</v>
      </c>
      <c r="G40" s="70">
        <f>IF(AND($I$7&gt;29, $I$7&lt;35,C40=TRUE),$I$7,0)</f>
        <v>0</v>
      </c>
      <c r="H40" s="67">
        <v>35</v>
      </c>
      <c r="I40" s="67">
        <f t="shared" si="3"/>
        <v>0</v>
      </c>
      <c r="J40" s="209"/>
      <c r="K40" s="209"/>
      <c r="L40" s="209"/>
      <c r="M40" s="209"/>
      <c r="N40" s="209"/>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N40" s="62">
        <f t="shared" si="4"/>
        <v>36.75</v>
      </c>
      <c r="BO40" s="62"/>
      <c r="BP40" s="63">
        <v>35</v>
      </c>
    </row>
    <row r="41" spans="2:68" s="9" customFormat="1" ht="12.75" customHeight="1" x14ac:dyDescent="0.2">
      <c r="B41" s="10"/>
      <c r="C41" s="15" t="b">
        <v>0</v>
      </c>
      <c r="D41" s="17" t="s">
        <v>263</v>
      </c>
      <c r="E41" s="17"/>
      <c r="F41" s="19" t="s">
        <v>261</v>
      </c>
      <c r="G41" s="70">
        <f>IF(AND($I$7&gt;34,C41=TRUE),$I$7,0)</f>
        <v>0</v>
      </c>
      <c r="H41" s="67">
        <v>40</v>
      </c>
      <c r="I41" s="67">
        <f t="shared" si="3"/>
        <v>0</v>
      </c>
      <c r="J41" s="209"/>
      <c r="K41" s="209"/>
      <c r="L41" s="209"/>
      <c r="M41" s="209"/>
      <c r="N41" s="209"/>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N41" s="62">
        <f t="shared" si="4"/>
        <v>42</v>
      </c>
      <c r="BO41" s="62"/>
      <c r="BP41" s="63">
        <v>40</v>
      </c>
    </row>
    <row r="42" spans="2:68" s="9" customFormat="1" x14ac:dyDescent="0.2">
      <c r="B42" s="10"/>
      <c r="C42" s="15" t="b">
        <v>0</v>
      </c>
      <c r="D42" s="17" t="s">
        <v>259</v>
      </c>
      <c r="E42" s="17"/>
      <c r="F42" s="19" t="s">
        <v>48</v>
      </c>
      <c r="G42" s="70">
        <f>IF(C42=TRUE,1,0)</f>
        <v>0</v>
      </c>
      <c r="H42" s="67">
        <v>370</v>
      </c>
      <c r="I42" s="67">
        <f t="shared" si="3"/>
        <v>0</v>
      </c>
      <c r="J42" s="209"/>
      <c r="K42" s="209"/>
      <c r="L42" s="209"/>
      <c r="M42" s="209"/>
      <c r="N42" s="209"/>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N42" s="62">
        <f t="shared" si="4"/>
        <v>388.5</v>
      </c>
      <c r="BO42" s="62"/>
      <c r="BP42" s="63">
        <v>370</v>
      </c>
    </row>
    <row r="43" spans="2:68" s="9" customFormat="1" ht="12.75" customHeight="1" x14ac:dyDescent="0.2">
      <c r="B43" s="10"/>
      <c r="C43" s="15" t="b">
        <v>0</v>
      </c>
      <c r="D43" s="17" t="s">
        <v>212</v>
      </c>
      <c r="E43" s="17"/>
      <c r="F43" s="17"/>
      <c r="G43" s="70">
        <f>IF(AND($I$7&gt;0,Q9&gt;4,C43=TRUE),$M$11,0)</f>
        <v>0</v>
      </c>
      <c r="H43" s="67">
        <v>65</v>
      </c>
      <c r="I43" s="67">
        <f t="shared" si="3"/>
        <v>0</v>
      </c>
      <c r="J43" s="209"/>
      <c r="K43" s="209"/>
      <c r="L43" s="209"/>
      <c r="M43" s="209"/>
      <c r="N43" s="209"/>
      <c r="O43" s="10"/>
      <c r="P43" s="10"/>
      <c r="Q43" s="201" t="s">
        <v>179</v>
      </c>
      <c r="R43" s="202"/>
      <c r="S43" s="202"/>
      <c r="T43" s="203"/>
      <c r="U43" s="73" t="s">
        <v>180</v>
      </c>
      <c r="V43" s="74"/>
      <c r="W43" s="74"/>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N43" s="62">
        <f t="shared" si="4"/>
        <v>68.25</v>
      </c>
      <c r="BO43" s="62"/>
      <c r="BP43" s="63">
        <v>65</v>
      </c>
    </row>
    <row r="44" spans="2:68" s="9" customFormat="1" ht="7.5" customHeight="1" x14ac:dyDescent="0.2">
      <c r="B44" s="219"/>
      <c r="C44" s="220"/>
      <c r="D44" s="220"/>
      <c r="E44" s="220"/>
      <c r="F44" s="220"/>
      <c r="G44" s="220"/>
      <c r="H44" s="220"/>
      <c r="I44" s="220"/>
      <c r="J44" s="220"/>
      <c r="K44" s="220"/>
      <c r="L44" s="220"/>
      <c r="M44" s="220"/>
      <c r="N44" s="220"/>
      <c r="O44" s="10"/>
      <c r="P44" s="10"/>
      <c r="Q44" s="198" t="s">
        <v>62</v>
      </c>
      <c r="R44" s="181" t="s">
        <v>136</v>
      </c>
      <c r="S44" s="181" t="s">
        <v>162</v>
      </c>
      <c r="T44" s="181" t="s">
        <v>137</v>
      </c>
      <c r="U44" s="181" t="s">
        <v>142</v>
      </c>
      <c r="V44" s="181" t="s">
        <v>143</v>
      </c>
      <c r="W44" s="181" t="s">
        <v>138</v>
      </c>
      <c r="X44" s="74"/>
      <c r="Y44" s="74"/>
      <c r="Z44" s="74"/>
      <c r="AA44" s="74"/>
      <c r="AB44" s="74"/>
      <c r="AC44" s="75"/>
      <c r="AD44" s="201" t="s">
        <v>181</v>
      </c>
      <c r="AE44" s="203"/>
      <c r="AF44" s="187" t="s">
        <v>182</v>
      </c>
      <c r="AG44" s="188"/>
      <c r="AH44" s="188"/>
      <c r="AI44" s="188"/>
      <c r="AJ44" s="188"/>
      <c r="AK44" s="188"/>
      <c r="AL44" s="188"/>
      <c r="AM44" s="188"/>
      <c r="AN44" s="188"/>
      <c r="AO44" s="188"/>
      <c r="AP44" s="188"/>
      <c r="AQ44" s="188"/>
      <c r="AR44" s="188"/>
      <c r="AS44" s="188"/>
      <c r="AT44" s="189"/>
      <c r="AU44" s="205" t="s">
        <v>220</v>
      </c>
      <c r="AV44" s="205"/>
      <c r="AW44" s="205"/>
      <c r="AX44" s="205"/>
      <c r="AY44" s="206"/>
      <c r="AZ44" s="10"/>
      <c r="BA44" s="10"/>
      <c r="BB44" s="10"/>
      <c r="BC44" s="10"/>
      <c r="BN44" s="62"/>
      <c r="BO44" s="62"/>
      <c r="BP44" s="63"/>
    </row>
    <row r="45" spans="2:68" ht="12.75" customHeight="1" x14ac:dyDescent="0.2">
      <c r="B45" s="20" t="s">
        <v>94</v>
      </c>
      <c r="C45" s="23"/>
      <c r="D45" s="24"/>
      <c r="E45" s="24"/>
      <c r="F45" s="23"/>
      <c r="G45" s="51" t="s">
        <v>64</v>
      </c>
      <c r="H45" s="51" t="s">
        <v>47</v>
      </c>
      <c r="I45" s="51" t="s">
        <v>287</v>
      </c>
      <c r="J45" s="51"/>
      <c r="K45" s="72"/>
      <c r="L45" s="72"/>
      <c r="M45" s="53" t="s">
        <v>252</v>
      </c>
      <c r="N45" s="68">
        <f>SUM(I46:I56)</f>
        <v>0</v>
      </c>
      <c r="P45" s="2" t="s">
        <v>139</v>
      </c>
      <c r="Q45" s="199"/>
      <c r="R45" s="182"/>
      <c r="S45" s="182"/>
      <c r="T45" s="182"/>
      <c r="U45" s="182"/>
      <c r="V45" s="182"/>
      <c r="W45" s="182"/>
      <c r="X45" s="181" t="s">
        <v>65</v>
      </c>
      <c r="Y45" s="181" t="s">
        <v>144</v>
      </c>
      <c r="Z45" s="181" t="s">
        <v>145</v>
      </c>
      <c r="AA45" s="181" t="s">
        <v>146</v>
      </c>
      <c r="AB45" s="181" t="s">
        <v>147</v>
      </c>
      <c r="AC45" s="181" t="s">
        <v>66</v>
      </c>
      <c r="AD45" s="181" t="s">
        <v>218</v>
      </c>
      <c r="AE45" s="181" t="s">
        <v>219</v>
      </c>
      <c r="AF45" s="195" t="s">
        <v>148</v>
      </c>
      <c r="AG45" s="193" t="s">
        <v>150</v>
      </c>
      <c r="AH45" s="193" t="s">
        <v>149</v>
      </c>
      <c r="AI45" s="195" t="s">
        <v>204</v>
      </c>
      <c r="AJ45" s="195" t="s">
        <v>205</v>
      </c>
      <c r="AK45" s="193" t="s">
        <v>206</v>
      </c>
      <c r="AL45" s="193" t="s">
        <v>151</v>
      </c>
      <c r="AM45" s="193" t="s">
        <v>152</v>
      </c>
      <c r="AN45" s="195" t="s">
        <v>207</v>
      </c>
      <c r="AO45" s="195" t="s">
        <v>208</v>
      </c>
      <c r="AP45" s="193" t="s">
        <v>209</v>
      </c>
      <c r="AQ45" s="193" t="s">
        <v>153</v>
      </c>
      <c r="AR45" s="193" t="s">
        <v>154</v>
      </c>
      <c r="AS45" s="193" t="s">
        <v>155</v>
      </c>
      <c r="AT45" s="193" t="s">
        <v>156</v>
      </c>
      <c r="AU45" s="183" t="s">
        <v>161</v>
      </c>
      <c r="AV45" s="183" t="s">
        <v>157</v>
      </c>
      <c r="AW45" s="183" t="s">
        <v>158</v>
      </c>
      <c r="AX45" s="183" t="s">
        <v>159</v>
      </c>
      <c r="AY45" s="183" t="s">
        <v>160</v>
      </c>
    </row>
    <row r="46" spans="2:68" s="9" customFormat="1" ht="13.5" customHeight="1" x14ac:dyDescent="0.2">
      <c r="B46" s="10"/>
      <c r="C46" s="15" t="b">
        <v>0</v>
      </c>
      <c r="D46" s="10" t="s">
        <v>67</v>
      </c>
      <c r="E46" s="10"/>
      <c r="F46" s="16" t="str">
        <f>IF(AND($Q$13=1,$Q$7=2,Q9&lt;&gt;4),S8,IF(AND($Q$13=1,$Q$7=4,Q9&lt;&gt;4),S10,IF(AND($Q$13=1,$Q$7=5,Q9&lt;&gt;4),S11,IF(AND($Q$13=1,$Q$7=6,Q9&lt;&gt;4),S12,IF(AND($Q$13=1,$Q$7=8,Q9&lt;&gt;4),S14,"")))))</f>
        <v/>
      </c>
      <c r="G46" s="76">
        <f>IF(AND($Q$13=1,C46=TRUE,Q9&lt;&gt;4,Q9&lt;&gt;3),$M$11,0)</f>
        <v>0</v>
      </c>
      <c r="H46" s="66">
        <v>175</v>
      </c>
      <c r="I46" s="66">
        <f>IF(OR($Q$7=2,$Q$7=4,$Q$7=5,$Q$7=6,$Q$7=8),(G46*H46),0)</f>
        <v>0</v>
      </c>
      <c r="J46" s="208" t="s">
        <v>309</v>
      </c>
      <c r="K46" s="208"/>
      <c r="L46" s="208"/>
      <c r="M46" s="208"/>
      <c r="N46" s="208"/>
      <c r="O46" s="10"/>
      <c r="P46" s="11" t="s">
        <v>140</v>
      </c>
      <c r="Q46" s="79" t="s">
        <v>279</v>
      </c>
      <c r="R46" s="79" t="s">
        <v>215</v>
      </c>
      <c r="S46" s="79" t="s">
        <v>272</v>
      </c>
      <c r="T46" s="79" t="s">
        <v>216</v>
      </c>
      <c r="U46" s="79" t="s">
        <v>280</v>
      </c>
      <c r="V46" s="79" t="s">
        <v>280</v>
      </c>
      <c r="W46" s="79" t="s">
        <v>217</v>
      </c>
      <c r="X46" s="182"/>
      <c r="Y46" s="182"/>
      <c r="Z46" s="182"/>
      <c r="AA46" s="182"/>
      <c r="AB46" s="182"/>
      <c r="AC46" s="182"/>
      <c r="AD46" s="182"/>
      <c r="AE46" s="182"/>
      <c r="AF46" s="191"/>
      <c r="AG46" s="194"/>
      <c r="AH46" s="194"/>
      <c r="AI46" s="191"/>
      <c r="AJ46" s="191"/>
      <c r="AK46" s="194"/>
      <c r="AL46" s="194"/>
      <c r="AM46" s="194"/>
      <c r="AN46" s="191"/>
      <c r="AO46" s="191"/>
      <c r="AP46" s="194"/>
      <c r="AQ46" s="194"/>
      <c r="AR46" s="194"/>
      <c r="AS46" s="194"/>
      <c r="AT46" s="194"/>
      <c r="AU46" s="184"/>
      <c r="AV46" s="184"/>
      <c r="AW46" s="184"/>
      <c r="AX46" s="184"/>
      <c r="AY46" s="184"/>
      <c r="AZ46" s="10"/>
      <c r="BA46" s="10"/>
      <c r="BB46" s="10"/>
      <c r="BC46" s="10"/>
      <c r="BN46" s="62">
        <f>H46*1.08</f>
        <v>189</v>
      </c>
      <c r="BO46" s="62"/>
      <c r="BP46" s="63">
        <f t="shared" ref="BP46:BP52" si="5">CEILING(BN46, 5)</f>
        <v>190</v>
      </c>
    </row>
    <row r="47" spans="2:68" s="9" customFormat="1" x14ac:dyDescent="0.2">
      <c r="B47" s="10"/>
      <c r="C47" s="15" t="b">
        <v>0</v>
      </c>
      <c r="D47" s="17" t="s">
        <v>68</v>
      </c>
      <c r="E47" s="17"/>
      <c r="F47" s="18" t="str">
        <f>IF(AND($Q$13=2,$Q$7=1),S7,IF(AND($Q$13=2,$Q$7=3),S9,IF(AND($Q$13=2,$Q$7=5),S11,IF(AND($Q$13=2,$Q$7=7),S13,IF(AND($Q$13=2,$Q$7=8),S14,"")))))</f>
        <v/>
      </c>
      <c r="G47" s="77">
        <f>IF(AND($Q$13=2,C47=TRUE,Q9&lt;&gt;4,Q9&lt;&gt;3),$M$11,0)</f>
        <v>0</v>
      </c>
      <c r="H47" s="67">
        <v>205</v>
      </c>
      <c r="I47" s="67">
        <f>IF(OR($Q$7=1,$Q$7=3,$Q$7=5,$Q$7=7,$Q$7=8),(G47*H47),0)</f>
        <v>0</v>
      </c>
      <c r="J47" s="209"/>
      <c r="K47" s="209"/>
      <c r="L47" s="209"/>
      <c r="M47" s="209"/>
      <c r="N47" s="209"/>
      <c r="O47" s="10"/>
      <c r="P47" s="80" t="s">
        <v>141</v>
      </c>
      <c r="Q47" s="81">
        <v>7.69</v>
      </c>
      <c r="R47" s="82">
        <v>14.95</v>
      </c>
      <c r="S47" s="83">
        <v>34.99</v>
      </c>
      <c r="T47" s="83">
        <v>6.5</v>
      </c>
      <c r="U47" s="83">
        <v>16.05</v>
      </c>
      <c r="V47" s="83">
        <v>16.05</v>
      </c>
      <c r="W47" s="83">
        <v>62.99</v>
      </c>
      <c r="X47" s="79">
        <v>3847644</v>
      </c>
      <c r="Y47" s="79" t="s">
        <v>280</v>
      </c>
      <c r="Z47" s="84" t="s">
        <v>281</v>
      </c>
      <c r="AA47" s="84" t="s">
        <v>281</v>
      </c>
      <c r="AB47" s="84" t="s">
        <v>281</v>
      </c>
      <c r="AC47" s="84" t="s">
        <v>284</v>
      </c>
      <c r="AD47" s="84"/>
      <c r="AE47" s="84"/>
      <c r="AF47" s="85"/>
      <c r="AG47" s="85"/>
      <c r="AH47" s="85"/>
      <c r="AI47" s="85"/>
      <c r="AJ47" s="85"/>
      <c r="AK47" s="85"/>
      <c r="AL47" s="85"/>
      <c r="AM47" s="85"/>
      <c r="AN47" s="85"/>
      <c r="AO47" s="85"/>
      <c r="AP47" s="85"/>
      <c r="AQ47" s="85"/>
      <c r="AR47" s="85"/>
      <c r="AS47" s="85"/>
      <c r="AT47" s="85"/>
      <c r="AU47" s="86"/>
      <c r="AV47" s="86"/>
      <c r="AW47" s="86"/>
      <c r="AX47" s="86"/>
      <c r="AY47" s="87"/>
      <c r="AZ47" s="10"/>
      <c r="BA47" s="10"/>
      <c r="BB47" s="10"/>
      <c r="BC47" s="10"/>
      <c r="BN47" s="62">
        <f t="shared" ref="BN47:BN56" si="6">H47*1.08</f>
        <v>221.4</v>
      </c>
      <c r="BO47" s="62"/>
      <c r="BP47" s="63">
        <f t="shared" si="5"/>
        <v>225</v>
      </c>
    </row>
    <row r="48" spans="2:68" s="9" customFormat="1" x14ac:dyDescent="0.2">
      <c r="B48" s="10"/>
      <c r="C48" s="15" t="b">
        <v>0</v>
      </c>
      <c r="D48" s="17" t="s">
        <v>50</v>
      </c>
      <c r="E48" s="17"/>
      <c r="F48" s="18" t="str">
        <f>IF(AND($Q$13=1,$Q$11=1),V7,IF(AND($Q$13=1,$Q$11=2),V8,IF(AND($Q$13=1,$Q$11=3),V9,IF(AND($Q$13=1,$Q$11=4),V10,IF(AND($Q$13=1,$Q$11=5),V11,IF(AND($Q$13=1,$Q$11=6),V12,""))))))</f>
        <v/>
      </c>
      <c r="G48" s="77">
        <f>IF(AND($Q$13=1,Q11&lt;7,C48=TRUE),1,0)</f>
        <v>0</v>
      </c>
      <c r="H48" s="67">
        <v>135</v>
      </c>
      <c r="I48" s="67">
        <f>IF(OR($Q$11=1,$Q$11=2,$Q$11=3,$Q$11=4,$Q$11=5,$Q$11=6),(G48*H48),0)</f>
        <v>0</v>
      </c>
      <c r="J48" s="209"/>
      <c r="K48" s="209"/>
      <c r="L48" s="209"/>
      <c r="M48" s="209"/>
      <c r="N48" s="209"/>
      <c r="O48" s="10"/>
      <c r="P48" s="10"/>
      <c r="Q48" s="88"/>
      <c r="R48" s="88"/>
      <c r="S48" s="88"/>
      <c r="T48" s="88"/>
      <c r="U48" s="88"/>
      <c r="V48" s="88"/>
      <c r="W48" s="88"/>
      <c r="X48" s="83">
        <v>22.33</v>
      </c>
      <c r="Y48" s="81">
        <v>16.05</v>
      </c>
      <c r="Z48" s="89">
        <v>16.05</v>
      </c>
      <c r="AA48" s="89">
        <v>16.05</v>
      </c>
      <c r="AB48" s="89">
        <v>16.05</v>
      </c>
      <c r="AC48" s="81">
        <v>18.989999999999998</v>
      </c>
      <c r="AD48" s="81">
        <v>38.22</v>
      </c>
      <c r="AE48" s="81">
        <v>48.53</v>
      </c>
      <c r="AF48" s="81">
        <f>(Q47*8)+S47</f>
        <v>96.51</v>
      </c>
      <c r="AG48" s="81">
        <f>(Q47*6)+R47+T47+U47</f>
        <v>83.64</v>
      </c>
      <c r="AH48" s="81">
        <f>(Q47*8)+S47</f>
        <v>96.51</v>
      </c>
      <c r="AI48" s="81">
        <f>(Q47*4)+R47+T47+V47</f>
        <v>68.260000000000005</v>
      </c>
      <c r="AJ48" s="81">
        <f>(Q47*5)+R47+T47+V47</f>
        <v>75.95</v>
      </c>
      <c r="AK48" s="81">
        <f>(Q47*6)+R47+T47+V47</f>
        <v>83.64</v>
      </c>
      <c r="AL48" s="81">
        <f>(Q47*2)+R47+T47+W47+AD48</f>
        <v>138.04</v>
      </c>
      <c r="AM48" s="81">
        <f>(Q47*2)+R47+T47+W47+(AD48*1.25)</f>
        <v>147.595</v>
      </c>
      <c r="AN48" s="81">
        <f>(Q47*4)+R47+T47+X48</f>
        <v>74.539999999999992</v>
      </c>
      <c r="AO48" s="81">
        <f>(Q47*5)+R47+T47+X48</f>
        <v>82.23</v>
      </c>
      <c r="AP48" s="81">
        <f>(Q47*6)+R47+T47+X48</f>
        <v>89.92</v>
      </c>
      <c r="AQ48" s="81">
        <f>(Q47*8)+S47</f>
        <v>96.51</v>
      </c>
      <c r="AR48" s="81">
        <f>(Q47*2)+R47+T47+AC48+AE48</f>
        <v>104.35</v>
      </c>
      <c r="AS48" s="81">
        <f>(Q47*2)+R47+T47+AC48+(AE48*1.25)</f>
        <v>116.48249999999999</v>
      </c>
      <c r="AT48" s="81">
        <f>(Q47*8)+S47</f>
        <v>96.51</v>
      </c>
      <c r="AU48" s="81">
        <f>(Q47*3)+R47+T47+Y48</f>
        <v>60.569999999999993</v>
      </c>
      <c r="AV48" s="90">
        <f>(Q47*3)+R47+T47+Y48</f>
        <v>60.569999999999993</v>
      </c>
      <c r="AW48" s="90">
        <f>(Q47*3)+R47+T47+Y48</f>
        <v>60.569999999999993</v>
      </c>
      <c r="AX48" s="90">
        <f>(Q47*3)+R47+T47+Y48</f>
        <v>60.569999999999993</v>
      </c>
      <c r="AY48" s="91">
        <f>(Q47*3)+R47+T47+Y48</f>
        <v>60.569999999999993</v>
      </c>
      <c r="AZ48" s="10"/>
      <c r="BA48" s="10"/>
      <c r="BB48" s="10"/>
      <c r="BC48" s="10"/>
      <c r="BN48" s="62">
        <f t="shared" si="6"/>
        <v>145.80000000000001</v>
      </c>
      <c r="BO48" s="62"/>
      <c r="BP48" s="63">
        <f t="shared" si="5"/>
        <v>150</v>
      </c>
    </row>
    <row r="49" spans="2:68" s="9" customFormat="1" x14ac:dyDescent="0.2">
      <c r="B49" s="10"/>
      <c r="C49" s="15" t="b">
        <v>0</v>
      </c>
      <c r="D49" s="17" t="s">
        <v>51</v>
      </c>
      <c r="E49" s="17"/>
      <c r="F49" s="18" t="str">
        <f>IF(AND($Q$13=2,$Q$11=1),V7,IF(AND($Q$13=2,$Q$11=2),V8,IF(AND($Q$13=2,$Q$11=3),V9,IF(AND($Q$13=2,$Q$11=4),V10,IF(AND($Q$13=2,$Q$11=5),V11,IF(AND($Q$13=2,$Q$11=6),V12,""))))))</f>
        <v/>
      </c>
      <c r="G49" s="77">
        <f>IF(AND($Q$13=2,Q11&lt;7,C49=TRUE),1,0)</f>
        <v>0</v>
      </c>
      <c r="H49" s="67">
        <v>145</v>
      </c>
      <c r="I49" s="67">
        <f>IF(OR($Q$11=1,$Q$11=2,$Q$11=3,$Q$11=4,$Q$11=5,$Q$11=6),(G49*H49),0)</f>
        <v>0</v>
      </c>
      <c r="J49" s="209"/>
      <c r="K49" s="209"/>
      <c r="L49" s="209"/>
      <c r="M49" s="209"/>
      <c r="N49" s="209"/>
      <c r="O49" s="10"/>
      <c r="P49" s="10"/>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10"/>
      <c r="AV49" s="10"/>
      <c r="AW49" s="10"/>
      <c r="AX49" s="10"/>
      <c r="AY49" s="10"/>
      <c r="AZ49" s="10"/>
      <c r="BA49" s="10"/>
      <c r="BB49" s="10"/>
      <c r="BC49" s="10"/>
      <c r="BN49" s="62">
        <f t="shared" si="6"/>
        <v>156.60000000000002</v>
      </c>
      <c r="BO49" s="62"/>
      <c r="BP49" s="63">
        <f t="shared" si="5"/>
        <v>160</v>
      </c>
    </row>
    <row r="50" spans="2:68" s="9" customFormat="1" x14ac:dyDescent="0.2">
      <c r="B50" s="10"/>
      <c r="C50" s="15" t="b">
        <v>0</v>
      </c>
      <c r="D50" s="17" t="s">
        <v>315</v>
      </c>
      <c r="E50" s="17"/>
      <c r="F50" s="18"/>
      <c r="G50" s="77">
        <f>IF(C50=TRUE,(G47+G49),0)</f>
        <v>0</v>
      </c>
      <c r="H50" s="67">
        <v>145</v>
      </c>
      <c r="I50" s="67">
        <f>IF(OR($Q$11=1,$Q$11=2,$Q$11=3,$Q$11=4,$Q$11=5,$Q$11=6),(G50*H50),0)</f>
        <v>0</v>
      </c>
      <c r="J50" s="209"/>
      <c r="K50" s="209"/>
      <c r="L50" s="209"/>
      <c r="M50" s="209"/>
      <c r="N50" s="209"/>
      <c r="O50" s="10"/>
      <c r="P50" s="10"/>
      <c r="Q50" s="10"/>
      <c r="R50" s="10"/>
      <c r="S50" s="10"/>
      <c r="T50" s="10"/>
      <c r="U50" s="10"/>
      <c r="V50" s="10"/>
      <c r="W50" s="10"/>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10"/>
      <c r="AV50" s="10"/>
      <c r="AW50" s="10"/>
      <c r="AX50" s="10"/>
      <c r="AY50" s="10"/>
      <c r="AZ50" s="10"/>
      <c r="BA50" s="10"/>
      <c r="BB50" s="10"/>
      <c r="BC50" s="10"/>
      <c r="BN50" s="62">
        <f t="shared" si="6"/>
        <v>156.60000000000002</v>
      </c>
      <c r="BO50" s="62"/>
      <c r="BP50" s="63">
        <f t="shared" si="5"/>
        <v>160</v>
      </c>
    </row>
    <row r="51" spans="2:68" s="9" customFormat="1" x14ac:dyDescent="0.2">
      <c r="B51" s="10"/>
      <c r="C51" s="15" t="b">
        <v>0</v>
      </c>
      <c r="D51" s="17" t="s">
        <v>56</v>
      </c>
      <c r="E51" s="17"/>
      <c r="F51" s="18" t="str">
        <f>IF(AND($Q$13=1,$Q$9=4,Q7=4,M8&lt;126),S10,IF(AND($Q$13=1,$Q$9=4,Q7=6,M8&lt;126),S12,IF(AND($Q$13=1,$Q$9=4,Q7=8,M8&lt;126),S14,"")))</f>
        <v/>
      </c>
      <c r="G51" s="70">
        <f>IF(AND($Q$13=1,Q9=4,M8&lt;126,C51=TRUE),$M$11,0)</f>
        <v>0</v>
      </c>
      <c r="H51" s="67">
        <v>175</v>
      </c>
      <c r="I51" s="67">
        <f>IF(OR($Q$7=4,$Q$7=6,$Q$7=8),(G51*H51),0)</f>
        <v>0</v>
      </c>
      <c r="J51" s="209"/>
      <c r="K51" s="209"/>
      <c r="L51" s="209"/>
      <c r="M51" s="209"/>
      <c r="N51" s="209"/>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c r="AR51" s="10"/>
      <c r="AS51" s="10"/>
      <c r="AT51" s="10"/>
      <c r="AU51" s="10"/>
      <c r="AV51" s="10"/>
      <c r="AW51" s="10"/>
      <c r="AX51" s="10"/>
      <c r="AY51" s="10"/>
      <c r="AZ51" s="10"/>
      <c r="BA51" s="10"/>
      <c r="BB51" s="10"/>
      <c r="BC51" s="10"/>
      <c r="BN51" s="62">
        <f t="shared" si="6"/>
        <v>189</v>
      </c>
      <c r="BO51" s="62"/>
      <c r="BP51" s="63">
        <f t="shared" si="5"/>
        <v>190</v>
      </c>
    </row>
    <row r="52" spans="2:68" s="9" customFormat="1" ht="12.75" customHeight="1" x14ac:dyDescent="0.2">
      <c r="B52" s="10"/>
      <c r="C52" s="15" t="b">
        <v>0</v>
      </c>
      <c r="D52" s="17" t="s">
        <v>57</v>
      </c>
      <c r="E52" s="17"/>
      <c r="F52" s="18" t="str">
        <f>IF(AND($Q$13=1,$Q$9=4,Q7=4,M8&gt;125),S10,IF(AND($Q$13=1,$Q$9=4,Q7=6,M8&gt;125),S12,IF(AND($Q$13=1,$Q$9=4,Q7=8,M8&gt;125),S14,"")))</f>
        <v/>
      </c>
      <c r="G52" s="70">
        <f>IF(AND($Q$13=1,Q9=4,M8&gt;125,C52=TRUE),$M$11,0)</f>
        <v>0</v>
      </c>
      <c r="H52" s="67">
        <v>175</v>
      </c>
      <c r="I52" s="67">
        <f>IF(OR($Q$7=4,$Q$7=6,$Q$7=8),(G52*H52),0)</f>
        <v>0</v>
      </c>
      <c r="J52" s="209"/>
      <c r="K52" s="209"/>
      <c r="L52" s="209"/>
      <c r="M52" s="209"/>
      <c r="N52" s="209"/>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c r="AT52" s="10"/>
      <c r="AU52" s="10"/>
      <c r="AV52" s="10"/>
      <c r="AW52" s="10"/>
      <c r="AX52" s="10"/>
      <c r="AY52" s="10"/>
      <c r="AZ52" s="10"/>
      <c r="BA52" s="10"/>
      <c r="BB52" s="10"/>
      <c r="BC52" s="10"/>
      <c r="BN52" s="62">
        <f t="shared" si="6"/>
        <v>189</v>
      </c>
      <c r="BO52" s="62"/>
      <c r="BP52" s="63">
        <f t="shared" si="5"/>
        <v>190</v>
      </c>
    </row>
    <row r="53" spans="2:68" s="9" customFormat="1" ht="12.75" customHeight="1" x14ac:dyDescent="0.2">
      <c r="B53" s="10"/>
      <c r="C53" s="15" t="b">
        <v>0</v>
      </c>
      <c r="D53" s="17" t="s">
        <v>214</v>
      </c>
      <c r="E53" s="17"/>
      <c r="F53" s="18"/>
      <c r="G53" s="70">
        <v>0</v>
      </c>
      <c r="H53" s="78" t="s">
        <v>55</v>
      </c>
      <c r="I53" s="78" t="s">
        <v>55</v>
      </c>
      <c r="J53" s="209"/>
      <c r="K53" s="209"/>
      <c r="L53" s="209"/>
      <c r="M53" s="209"/>
      <c r="N53" s="209"/>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c r="AR53" s="10"/>
      <c r="AS53" s="10"/>
      <c r="AT53" s="10"/>
      <c r="AU53" s="10"/>
      <c r="AV53" s="10"/>
      <c r="AW53" s="10"/>
      <c r="AX53" s="10"/>
      <c r="AY53" s="10"/>
      <c r="AZ53" s="10"/>
      <c r="BA53" s="10"/>
      <c r="BB53" s="10"/>
      <c r="BC53" s="10"/>
      <c r="BN53" s="62"/>
      <c r="BO53" s="62"/>
      <c r="BP53" s="63"/>
    </row>
    <row r="54" spans="2:68" s="9" customFormat="1" ht="12.75" customHeight="1" x14ac:dyDescent="0.2">
      <c r="B54" s="10"/>
      <c r="C54" s="15" t="b">
        <v>0</v>
      </c>
      <c r="D54" s="17" t="s">
        <v>235</v>
      </c>
      <c r="E54" s="17"/>
      <c r="F54" s="18"/>
      <c r="G54" s="70">
        <f>IF(AND(C54=TRUE),1,0)</f>
        <v>0</v>
      </c>
      <c r="H54" s="78">
        <v>175</v>
      </c>
      <c r="I54" s="78">
        <f>G54*H54</f>
        <v>0</v>
      </c>
      <c r="J54" s="209"/>
      <c r="K54" s="209"/>
      <c r="L54" s="209"/>
      <c r="M54" s="209"/>
      <c r="N54" s="209"/>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N54" s="62">
        <f t="shared" si="6"/>
        <v>189</v>
      </c>
      <c r="BO54" s="62"/>
      <c r="BP54" s="63">
        <f>CEILING(BN54, 5)</f>
        <v>190</v>
      </c>
    </row>
    <row r="55" spans="2:68" s="9" customFormat="1" ht="12.75" customHeight="1" x14ac:dyDescent="0.2">
      <c r="B55" s="10" t="s">
        <v>4</v>
      </c>
      <c r="C55" s="15" t="b">
        <v>1</v>
      </c>
      <c r="D55" s="17" t="s">
        <v>54</v>
      </c>
      <c r="E55" s="17"/>
      <c r="F55" s="18"/>
      <c r="G55" s="70">
        <f>IF(AND($I$7&gt;0,C55=TRUE),$I$9,0)</f>
        <v>0</v>
      </c>
      <c r="H55" s="67">
        <v>25</v>
      </c>
      <c r="I55" s="67">
        <f>G55*H55</f>
        <v>0</v>
      </c>
      <c r="J55" s="209"/>
      <c r="K55" s="209"/>
      <c r="L55" s="209"/>
      <c r="M55" s="209"/>
      <c r="N55" s="209"/>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N55" s="62">
        <f t="shared" si="6"/>
        <v>27</v>
      </c>
      <c r="BO55" s="62"/>
      <c r="BP55" s="63">
        <f>CEILING(BN55, 5)</f>
        <v>30</v>
      </c>
    </row>
    <row r="56" spans="2:68" s="9" customFormat="1" ht="12.75" customHeight="1" x14ac:dyDescent="0.2">
      <c r="B56" s="10"/>
      <c r="C56" s="15" t="b">
        <v>1</v>
      </c>
      <c r="D56" s="17" t="s">
        <v>69</v>
      </c>
      <c r="E56" s="17"/>
      <c r="F56" s="18"/>
      <c r="G56" s="70">
        <f>SUM(G46:G54)</f>
        <v>0</v>
      </c>
      <c r="H56" s="67">
        <v>5</v>
      </c>
      <c r="I56" s="67">
        <f>G56*H56</f>
        <v>0</v>
      </c>
      <c r="J56" s="209"/>
      <c r="K56" s="209"/>
      <c r="L56" s="209"/>
      <c r="M56" s="209"/>
      <c r="N56" s="209"/>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N56" s="62">
        <f t="shared" si="6"/>
        <v>5.4</v>
      </c>
      <c r="BO56" s="62"/>
      <c r="BP56" s="63">
        <v>4</v>
      </c>
    </row>
    <row r="57" spans="2:68" s="9" customFormat="1" ht="7.5" customHeight="1" x14ac:dyDescent="0.2">
      <c r="B57" s="10"/>
      <c r="C57" s="10"/>
      <c r="D57" s="10"/>
      <c r="E57" s="10"/>
      <c r="F57" s="16"/>
      <c r="G57" s="69"/>
      <c r="H57" s="66"/>
      <c r="I57" s="66"/>
      <c r="J57" s="66"/>
      <c r="K57" s="92"/>
      <c r="L57" s="92"/>
      <c r="M57" s="92"/>
      <c r="N57" s="92"/>
      <c r="O57" s="10"/>
      <c r="P57" s="10"/>
      <c r="Q57" s="198" t="s">
        <v>62</v>
      </c>
      <c r="R57" s="181" t="s">
        <v>136</v>
      </c>
      <c r="S57" s="181" t="s">
        <v>162</v>
      </c>
      <c r="T57" s="181" t="s">
        <v>137</v>
      </c>
      <c r="U57" s="181" t="s">
        <v>142</v>
      </c>
      <c r="V57" s="181" t="s">
        <v>143</v>
      </c>
      <c r="W57" s="181" t="s">
        <v>138</v>
      </c>
      <c r="X57" s="10"/>
      <c r="Y57" s="10"/>
      <c r="Z57" s="10"/>
      <c r="AA57" s="10"/>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N57" s="62"/>
      <c r="BO57" s="62"/>
      <c r="BP57" s="63"/>
    </row>
    <row r="58" spans="2:68" ht="12.75" customHeight="1" x14ac:dyDescent="0.2">
      <c r="B58" s="20" t="s">
        <v>288</v>
      </c>
      <c r="C58" s="23"/>
      <c r="D58" s="24"/>
      <c r="E58" s="24"/>
      <c r="F58" s="23"/>
      <c r="G58" s="51" t="s">
        <v>64</v>
      </c>
      <c r="H58" s="51" t="s">
        <v>47</v>
      </c>
      <c r="I58" s="51" t="s">
        <v>287</v>
      </c>
      <c r="J58" s="51"/>
      <c r="K58" s="72"/>
      <c r="L58" s="72"/>
      <c r="M58" s="53" t="s">
        <v>252</v>
      </c>
      <c r="N58" s="68">
        <f>SUM(I59:I64)</f>
        <v>0</v>
      </c>
      <c r="P58" s="2" t="s">
        <v>139</v>
      </c>
      <c r="Q58" s="199"/>
      <c r="R58" s="182"/>
      <c r="S58" s="182"/>
      <c r="T58" s="182"/>
      <c r="U58" s="182"/>
      <c r="V58" s="182"/>
      <c r="W58" s="182"/>
      <c r="X58" s="181" t="s">
        <v>65</v>
      </c>
      <c r="Y58" s="181" t="s">
        <v>144</v>
      </c>
      <c r="Z58" s="181" t="s">
        <v>145</v>
      </c>
      <c r="AA58" s="181" t="s">
        <v>146</v>
      </c>
      <c r="AB58" s="181" t="s">
        <v>147</v>
      </c>
      <c r="AC58" s="181" t="s">
        <v>66</v>
      </c>
      <c r="AD58" s="181" t="s">
        <v>218</v>
      </c>
      <c r="AE58" s="181" t="s">
        <v>219</v>
      </c>
      <c r="AF58" s="195" t="s">
        <v>148</v>
      </c>
      <c r="AG58" s="193" t="s">
        <v>150</v>
      </c>
      <c r="AH58" s="193" t="s">
        <v>149</v>
      </c>
      <c r="AI58" s="195" t="s">
        <v>204</v>
      </c>
      <c r="AJ58" s="195" t="s">
        <v>205</v>
      </c>
      <c r="AK58" s="193" t="s">
        <v>206</v>
      </c>
      <c r="AL58" s="193" t="s">
        <v>151</v>
      </c>
      <c r="AM58" s="193" t="s">
        <v>152</v>
      </c>
      <c r="AN58" s="195" t="s">
        <v>207</v>
      </c>
      <c r="AO58" s="195" t="s">
        <v>208</v>
      </c>
      <c r="AP58" s="193" t="s">
        <v>209</v>
      </c>
      <c r="AQ58" s="193" t="s">
        <v>153</v>
      </c>
      <c r="AR58" s="193" t="s">
        <v>154</v>
      </c>
      <c r="AS58" s="193" t="s">
        <v>155</v>
      </c>
      <c r="AT58" s="193" t="s">
        <v>156</v>
      </c>
      <c r="AU58" s="183" t="s">
        <v>161</v>
      </c>
      <c r="AV58" s="183" t="s">
        <v>157</v>
      </c>
      <c r="AW58" s="183" t="s">
        <v>158</v>
      </c>
      <c r="AX58" s="183" t="s">
        <v>159</v>
      </c>
      <c r="AY58" s="183" t="s">
        <v>160</v>
      </c>
    </row>
    <row r="59" spans="2:68" s="9" customFormat="1" ht="13.5" customHeight="1" x14ac:dyDescent="0.2">
      <c r="B59" s="10"/>
      <c r="C59" s="15" t="b">
        <v>0</v>
      </c>
      <c r="D59" s="10" t="s">
        <v>375</v>
      </c>
      <c r="E59" s="10"/>
      <c r="F59" s="16" t="str">
        <f>IF(AND($Q$9=6,$Q$7=4),Q10,"")</f>
        <v/>
      </c>
      <c r="G59" s="76">
        <f>IF(AND($Q$9=6,$Q$7=4,C59=TRUE),$M$11,0)</f>
        <v>0</v>
      </c>
      <c r="H59" s="66">
        <v>475</v>
      </c>
      <c r="I59" s="66">
        <f>IF(OR($Q$9=6),(G59*H59),0)</f>
        <v>0</v>
      </c>
      <c r="J59" s="208" t="s">
        <v>324</v>
      </c>
      <c r="K59" s="208"/>
      <c r="L59" s="208"/>
      <c r="M59" s="208"/>
      <c r="N59" s="208"/>
      <c r="O59" s="10"/>
      <c r="P59" s="11" t="s">
        <v>140</v>
      </c>
      <c r="Q59" s="79" t="s">
        <v>279</v>
      </c>
      <c r="R59" s="79" t="s">
        <v>215</v>
      </c>
      <c r="S59" s="79" t="s">
        <v>272</v>
      </c>
      <c r="T59" s="79" t="s">
        <v>216</v>
      </c>
      <c r="U59" s="79" t="s">
        <v>280</v>
      </c>
      <c r="V59" s="79" t="s">
        <v>280</v>
      </c>
      <c r="W59" s="79" t="s">
        <v>217</v>
      </c>
      <c r="X59" s="182"/>
      <c r="Y59" s="182"/>
      <c r="Z59" s="182"/>
      <c r="AA59" s="182"/>
      <c r="AB59" s="182"/>
      <c r="AC59" s="182"/>
      <c r="AD59" s="182"/>
      <c r="AE59" s="182"/>
      <c r="AF59" s="191"/>
      <c r="AG59" s="194"/>
      <c r="AH59" s="194"/>
      <c r="AI59" s="191"/>
      <c r="AJ59" s="191"/>
      <c r="AK59" s="194"/>
      <c r="AL59" s="194"/>
      <c r="AM59" s="194"/>
      <c r="AN59" s="191"/>
      <c r="AO59" s="191"/>
      <c r="AP59" s="194"/>
      <c r="AQ59" s="194"/>
      <c r="AR59" s="194"/>
      <c r="AS59" s="194"/>
      <c r="AT59" s="194"/>
      <c r="AU59" s="184"/>
      <c r="AV59" s="184"/>
      <c r="AW59" s="184"/>
      <c r="AX59" s="184"/>
      <c r="AY59" s="184"/>
      <c r="AZ59" s="10"/>
      <c r="BA59" s="10"/>
      <c r="BB59" s="10"/>
      <c r="BC59" s="10"/>
      <c r="BN59" s="62">
        <f t="shared" ref="BN59:BN64" si="7">H59*1.08</f>
        <v>513</v>
      </c>
      <c r="BO59" s="62"/>
      <c r="BP59" s="63">
        <f t="shared" ref="BP59:BP64" si="8">CEILING(BN59, 5)</f>
        <v>515</v>
      </c>
    </row>
    <row r="60" spans="2:68" s="9" customFormat="1" x14ac:dyDescent="0.2">
      <c r="B60" s="10"/>
      <c r="C60" s="15" t="b">
        <v>0</v>
      </c>
      <c r="D60" s="17" t="s">
        <v>319</v>
      </c>
      <c r="E60" s="17"/>
      <c r="F60" s="18" t="str">
        <f>IF(AND($Q$9=5,$Q$7=4),Q10,"")</f>
        <v/>
      </c>
      <c r="G60" s="77">
        <f>IF(AND($Q$9=5,$Q$7=4,C60=TRUE),$M$11,0)</f>
        <v>0</v>
      </c>
      <c r="H60" s="67">
        <v>665</v>
      </c>
      <c r="I60" s="67">
        <f>IF(OR($Q$9=5),(G60*H60),0)</f>
        <v>0</v>
      </c>
      <c r="J60" s="209"/>
      <c r="K60" s="209"/>
      <c r="L60" s="209"/>
      <c r="M60" s="209"/>
      <c r="N60" s="209"/>
      <c r="O60" s="10"/>
      <c r="P60" s="80" t="s">
        <v>141</v>
      </c>
      <c r="Q60" s="81">
        <v>7.69</v>
      </c>
      <c r="R60" s="82">
        <v>14.95</v>
      </c>
      <c r="S60" s="83">
        <v>34.99</v>
      </c>
      <c r="T60" s="83">
        <v>6.5</v>
      </c>
      <c r="U60" s="83">
        <v>16.05</v>
      </c>
      <c r="V60" s="83">
        <v>16.05</v>
      </c>
      <c r="W60" s="83">
        <v>62.99</v>
      </c>
      <c r="X60" s="79">
        <v>3847644</v>
      </c>
      <c r="Y60" s="79" t="s">
        <v>280</v>
      </c>
      <c r="Z60" s="84" t="s">
        <v>281</v>
      </c>
      <c r="AA60" s="84" t="s">
        <v>281</v>
      </c>
      <c r="AB60" s="84" t="s">
        <v>281</v>
      </c>
      <c r="AC60" s="84" t="s">
        <v>284</v>
      </c>
      <c r="AD60" s="84"/>
      <c r="AE60" s="84"/>
      <c r="AF60" s="85"/>
      <c r="AG60" s="85"/>
      <c r="AH60" s="85"/>
      <c r="AI60" s="85"/>
      <c r="AJ60" s="85"/>
      <c r="AK60" s="85"/>
      <c r="AL60" s="85"/>
      <c r="AM60" s="85"/>
      <c r="AN60" s="85"/>
      <c r="AO60" s="85"/>
      <c r="AP60" s="85"/>
      <c r="AQ60" s="85"/>
      <c r="AR60" s="85"/>
      <c r="AS60" s="85"/>
      <c r="AT60" s="85"/>
      <c r="AU60" s="86"/>
      <c r="AV60" s="86"/>
      <c r="AW60" s="86"/>
      <c r="AX60" s="86"/>
      <c r="AY60" s="87"/>
      <c r="AZ60" s="10"/>
      <c r="BA60" s="10"/>
      <c r="BB60" s="10"/>
      <c r="BC60" s="10"/>
      <c r="BN60" s="62">
        <f t="shared" si="7"/>
        <v>718.2</v>
      </c>
      <c r="BO60" s="62"/>
      <c r="BP60" s="63">
        <f t="shared" si="8"/>
        <v>720</v>
      </c>
    </row>
    <row r="61" spans="2:68" s="9" customFormat="1" x14ac:dyDescent="0.2">
      <c r="B61" s="10"/>
      <c r="C61" s="15" t="b">
        <v>0</v>
      </c>
      <c r="D61" s="17" t="s">
        <v>372</v>
      </c>
      <c r="E61" s="17"/>
      <c r="F61" s="18" t="str">
        <f>IF(AND($Q$9=7,$Q$7=5),Q10,IF(AND($Q$9=8,$Q$7=5),Q10,IF(AND($Q$9=9,$Q$7=5),Q10,"")))</f>
        <v/>
      </c>
      <c r="G61" s="77">
        <f>IF(AND($Q$9=7,$Q$7=5,C61=TRUE),$M$11,IF(AND($Q$9=8,$Q$7=5,C61=TRUE),$M$11,IF(AND($Q$9=9,$Q$7=5,C61=TRUE),$M$11,0)))</f>
        <v>0</v>
      </c>
      <c r="H61" s="67">
        <v>275</v>
      </c>
      <c r="I61" s="67">
        <f>IF(OR($Q$9=7,$Q$9=8),(G61*H61),0)</f>
        <v>0</v>
      </c>
      <c r="J61" s="209"/>
      <c r="K61" s="209"/>
      <c r="L61" s="209"/>
      <c r="M61" s="209"/>
      <c r="N61" s="209"/>
      <c r="O61" s="10"/>
      <c r="P61" s="10"/>
      <c r="Q61" s="88"/>
      <c r="R61" s="88"/>
      <c r="S61" s="88"/>
      <c r="T61" s="88"/>
      <c r="U61" s="88"/>
      <c r="V61" s="88"/>
      <c r="W61" s="88"/>
      <c r="X61" s="83">
        <v>22.33</v>
      </c>
      <c r="Y61" s="81">
        <v>16.05</v>
      </c>
      <c r="Z61" s="89">
        <v>16.05</v>
      </c>
      <c r="AA61" s="89">
        <v>16.05</v>
      </c>
      <c r="AB61" s="89">
        <v>16.05</v>
      </c>
      <c r="AC61" s="81">
        <v>18.989999999999998</v>
      </c>
      <c r="AD61" s="81">
        <v>38.22</v>
      </c>
      <c r="AE61" s="81">
        <v>48.53</v>
      </c>
      <c r="AF61" s="81">
        <f>(Q60*8)+S60</f>
        <v>96.51</v>
      </c>
      <c r="AG61" s="81">
        <f>(Q60*6)+R60+T60+U60</f>
        <v>83.64</v>
      </c>
      <c r="AH61" s="81">
        <f>(Q60*8)+S60</f>
        <v>96.51</v>
      </c>
      <c r="AI61" s="81">
        <f>(Q60*4)+R60+T60+V60</f>
        <v>68.260000000000005</v>
      </c>
      <c r="AJ61" s="81">
        <f>(Q60*5)+R60+T60+V60</f>
        <v>75.95</v>
      </c>
      <c r="AK61" s="81">
        <f>(Q60*6)+R60+T60+V60</f>
        <v>83.64</v>
      </c>
      <c r="AL61" s="81">
        <f>(Q60*2)+R60+T60+W60+AD61</f>
        <v>138.04</v>
      </c>
      <c r="AM61" s="81">
        <f>(Q60*2)+R60+T60+W60+(AD61*1.25)</f>
        <v>147.595</v>
      </c>
      <c r="AN61" s="81">
        <f>(Q60*4)+R60+T60+X61</f>
        <v>74.539999999999992</v>
      </c>
      <c r="AO61" s="81">
        <f>(Q60*5)+R60+T60+X61</f>
        <v>82.23</v>
      </c>
      <c r="AP61" s="81">
        <f>(Q60*6)+R60+T60+X61</f>
        <v>89.92</v>
      </c>
      <c r="AQ61" s="81">
        <f>(Q60*8)+S60</f>
        <v>96.51</v>
      </c>
      <c r="AR61" s="81">
        <f>(Q60*2)+R60+T60+AC61+AE61</f>
        <v>104.35</v>
      </c>
      <c r="AS61" s="81">
        <f>(Q60*2)+R60+T60+AC61+(AE61*1.25)</f>
        <v>116.48249999999999</v>
      </c>
      <c r="AT61" s="81">
        <f>(Q60*8)+S60</f>
        <v>96.51</v>
      </c>
      <c r="AU61" s="81">
        <f>(Q60*3)+R60+T60+Y61</f>
        <v>60.569999999999993</v>
      </c>
      <c r="AV61" s="90">
        <f>(Q60*3)+R60+T60+Y61</f>
        <v>60.569999999999993</v>
      </c>
      <c r="AW61" s="90">
        <f>(Q60*3)+R60+T60+Y61</f>
        <v>60.569999999999993</v>
      </c>
      <c r="AX61" s="90">
        <f>(Q60*3)+R60+T60+Y61</f>
        <v>60.569999999999993</v>
      </c>
      <c r="AY61" s="91">
        <f>(Q60*3)+R60+T60+Y61</f>
        <v>60.569999999999993</v>
      </c>
      <c r="AZ61" s="10"/>
      <c r="BA61" s="10"/>
      <c r="BB61" s="10"/>
      <c r="BC61" s="10"/>
      <c r="BN61" s="62">
        <f t="shared" si="7"/>
        <v>297</v>
      </c>
      <c r="BO61" s="62"/>
      <c r="BP61" s="63">
        <f t="shared" si="8"/>
        <v>300</v>
      </c>
    </row>
    <row r="62" spans="2:68" s="9" customFormat="1" x14ac:dyDescent="0.2">
      <c r="B62" s="10"/>
      <c r="C62" s="15" t="b">
        <v>0</v>
      </c>
      <c r="D62" s="17" t="s">
        <v>289</v>
      </c>
      <c r="E62" s="17"/>
      <c r="F62" s="18" t="str">
        <f>IF(AND($Q$13=1,$Q$9=1),Q8,IF(AND($Q$13=1,$Q$9=2),Q8,""))</f>
        <v/>
      </c>
      <c r="G62" s="77">
        <f>IF(AND($Q$9=1,$Q$13=1,C62=TRUE),$M$11,IF(AND($Q$9=2,$Q$13=1,C62=TRUE),$M$11,0))</f>
        <v>0</v>
      </c>
      <c r="H62" s="67">
        <v>355</v>
      </c>
      <c r="I62" s="67">
        <f>IF(OR($Q$11=1,$Q$11=2,$Q$11=3,$Q$11=4,$Q$11=5,$Q$11=6),(G62*H62),0)</f>
        <v>0</v>
      </c>
      <c r="J62" s="209"/>
      <c r="K62" s="209"/>
      <c r="L62" s="209"/>
      <c r="M62" s="209"/>
      <c r="N62" s="209"/>
      <c r="O62" s="10"/>
      <c r="P62" s="10"/>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10"/>
      <c r="AV62" s="10"/>
      <c r="AW62" s="10"/>
      <c r="AX62" s="10"/>
      <c r="AY62" s="10"/>
      <c r="AZ62" s="10"/>
      <c r="BA62" s="10"/>
      <c r="BB62" s="10"/>
      <c r="BC62" s="10"/>
      <c r="BN62" s="62">
        <f t="shared" si="7"/>
        <v>383.40000000000003</v>
      </c>
      <c r="BO62" s="62"/>
      <c r="BP62" s="63">
        <f t="shared" si="8"/>
        <v>385</v>
      </c>
    </row>
    <row r="63" spans="2:68" s="9" customFormat="1" x14ac:dyDescent="0.2">
      <c r="B63" s="10"/>
      <c r="C63" s="15" t="b">
        <v>0</v>
      </c>
      <c r="D63" s="17" t="s">
        <v>290</v>
      </c>
      <c r="E63" s="17"/>
      <c r="F63" s="18" t="str">
        <f>IF(AND($Q$13=2,$Q$9=1),Q8,IF(AND($Q$13=2,$Q$9=2),Q8,""))</f>
        <v/>
      </c>
      <c r="G63" s="77">
        <f>IF(AND($Q$9=1,$Q$13=2,C63=TRUE),$M$11,IF(AND($Q$9=2,$Q$13=2,C63=TRUE),$M$11,0))</f>
        <v>0</v>
      </c>
      <c r="H63" s="67">
        <v>375</v>
      </c>
      <c r="I63" s="67">
        <f>IF(OR($Q$11=1,$Q$11=2,$Q$11=3,$Q$11=4,$Q$11=5,$Q$11=6),(G63*H63),0)</f>
        <v>0</v>
      </c>
      <c r="J63" s="209"/>
      <c r="K63" s="209"/>
      <c r="L63" s="209"/>
      <c r="M63" s="209"/>
      <c r="N63" s="209"/>
      <c r="O63" s="10"/>
      <c r="P63" s="10"/>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10"/>
      <c r="AV63" s="10"/>
      <c r="AW63" s="10"/>
      <c r="AX63" s="10"/>
      <c r="AY63" s="10"/>
      <c r="AZ63" s="10"/>
      <c r="BA63" s="10"/>
      <c r="BB63" s="10"/>
      <c r="BC63" s="10"/>
      <c r="BN63" s="62">
        <f t="shared" si="7"/>
        <v>405</v>
      </c>
      <c r="BO63" s="62"/>
      <c r="BP63" s="63">
        <f t="shared" si="8"/>
        <v>405</v>
      </c>
    </row>
    <row r="64" spans="2:68" s="9" customFormat="1" x14ac:dyDescent="0.2">
      <c r="B64" s="10"/>
      <c r="C64" s="15" t="b">
        <v>0</v>
      </c>
      <c r="D64" s="17" t="s">
        <v>316</v>
      </c>
      <c r="E64" s="17"/>
      <c r="F64" s="18" t="str">
        <f>IF($Q$11&lt;7,Q12,"")</f>
        <v/>
      </c>
      <c r="G64" s="77">
        <f>IF(AND($Q$11&lt;7,C64=TRUE),1,0)</f>
        <v>0</v>
      </c>
      <c r="H64" s="67">
        <v>210</v>
      </c>
      <c r="I64" s="67">
        <f>IF(OR($Q$11=1,$Q$11=2,$Q$11=3,$Q$11=4,$Q$11=5,$Q$11=6),(G64*H64),0)</f>
        <v>0</v>
      </c>
      <c r="J64" s="209"/>
      <c r="K64" s="209"/>
      <c r="L64" s="209"/>
      <c r="M64" s="209"/>
      <c r="N64" s="209"/>
      <c r="O64" s="10"/>
      <c r="P64" s="10"/>
      <c r="Q64" s="10"/>
      <c r="R64" s="10"/>
      <c r="S64" s="10"/>
      <c r="T64" s="10"/>
      <c r="U64" s="10"/>
      <c r="V64" s="10"/>
      <c r="W64" s="10"/>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10"/>
      <c r="AV64" s="10"/>
      <c r="AW64" s="10"/>
      <c r="AX64" s="10"/>
      <c r="AY64" s="10"/>
      <c r="AZ64" s="10"/>
      <c r="BA64" s="10"/>
      <c r="BB64" s="10"/>
      <c r="BC64" s="10"/>
      <c r="BN64" s="62">
        <f t="shared" si="7"/>
        <v>226.8</v>
      </c>
      <c r="BO64" s="62"/>
      <c r="BP64" s="63">
        <f t="shared" si="8"/>
        <v>230</v>
      </c>
    </row>
    <row r="65" spans="2:69" s="9" customFormat="1" ht="7.5" customHeight="1" x14ac:dyDescent="0.2">
      <c r="B65" s="10"/>
      <c r="C65" s="15"/>
      <c r="D65" s="10"/>
      <c r="E65" s="10"/>
      <c r="F65" s="16"/>
      <c r="G65" s="76"/>
      <c r="H65" s="66"/>
      <c r="I65" s="66"/>
      <c r="J65" s="209"/>
      <c r="K65" s="209"/>
      <c r="L65" s="209"/>
      <c r="M65" s="209"/>
      <c r="N65" s="209"/>
      <c r="O65" s="10"/>
      <c r="P65" s="10"/>
      <c r="Q65" s="198"/>
      <c r="R65" s="181"/>
      <c r="S65" s="181"/>
      <c r="T65" s="181"/>
      <c r="U65" s="181"/>
      <c r="V65" s="181"/>
      <c r="W65" s="181"/>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N65" s="62"/>
      <c r="BO65" s="62"/>
      <c r="BP65" s="63"/>
    </row>
    <row r="66" spans="2:69" ht="12.75" customHeight="1" x14ac:dyDescent="0.2">
      <c r="B66" s="20" t="s">
        <v>296</v>
      </c>
      <c r="C66" s="23"/>
      <c r="D66" s="24"/>
      <c r="E66" s="24"/>
      <c r="F66" s="23"/>
      <c r="G66" s="51" t="s">
        <v>64</v>
      </c>
      <c r="H66" s="51" t="s">
        <v>47</v>
      </c>
      <c r="I66" s="51" t="s">
        <v>287</v>
      </c>
      <c r="J66" s="51"/>
      <c r="K66" s="72"/>
      <c r="L66" s="72"/>
      <c r="M66" s="53" t="s">
        <v>252</v>
      </c>
      <c r="N66" s="68">
        <f>SUM(I67:I68)</f>
        <v>0</v>
      </c>
      <c r="P66" s="2"/>
      <c r="Q66" s="199"/>
      <c r="R66" s="182"/>
      <c r="S66" s="182"/>
      <c r="T66" s="182"/>
      <c r="U66" s="182"/>
      <c r="V66" s="182"/>
      <c r="W66" s="182"/>
      <c r="X66" s="181"/>
      <c r="Y66" s="181"/>
      <c r="Z66" s="181"/>
      <c r="AA66" s="181"/>
      <c r="AB66" s="181"/>
      <c r="AC66" s="181"/>
      <c r="AD66" s="181"/>
      <c r="AE66" s="181"/>
      <c r="AF66" s="195"/>
      <c r="AG66" s="193"/>
      <c r="AH66" s="193"/>
      <c r="AI66" s="195"/>
      <c r="AJ66" s="195"/>
      <c r="AK66" s="193"/>
      <c r="AL66" s="193"/>
      <c r="AM66" s="193"/>
      <c r="AN66" s="195"/>
      <c r="AO66" s="195"/>
      <c r="AP66" s="193"/>
      <c r="AQ66" s="193"/>
      <c r="AR66" s="193"/>
      <c r="AS66" s="193"/>
      <c r="AT66" s="193"/>
      <c r="AU66" s="183"/>
      <c r="AV66" s="183"/>
      <c r="AW66" s="183"/>
      <c r="AX66" s="183"/>
      <c r="AY66" s="183"/>
    </row>
    <row r="67" spans="2:69" s="9" customFormat="1" ht="13.5" customHeight="1" x14ac:dyDescent="0.2">
      <c r="B67" s="10"/>
      <c r="C67" s="15" t="b">
        <v>0</v>
      </c>
      <c r="D67" s="10" t="s">
        <v>294</v>
      </c>
      <c r="E67" s="10"/>
      <c r="F67" s="16" t="str">
        <f>IF(AND(C67=TRUE,$Q$13=2,$Q$9=1),Q8,"")</f>
        <v/>
      </c>
      <c r="G67" s="76">
        <f>IF(AND($Q$13=1,C67=TRUE),$M$11,0)</f>
        <v>0</v>
      </c>
      <c r="H67" s="66">
        <v>145</v>
      </c>
      <c r="I67" s="66">
        <f>IF(OR($Q$13=1),(G67*H67),0)</f>
        <v>0</v>
      </c>
      <c r="J67" s="208" t="s">
        <v>322</v>
      </c>
      <c r="K67" s="208"/>
      <c r="L67" s="208"/>
      <c r="M67" s="208"/>
      <c r="N67" s="208"/>
      <c r="O67" s="10"/>
      <c r="P67" s="11"/>
      <c r="Q67" s="79"/>
      <c r="R67" s="79"/>
      <c r="S67" s="79"/>
      <c r="T67" s="79"/>
      <c r="U67" s="79"/>
      <c r="V67" s="79"/>
      <c r="W67" s="79"/>
      <c r="X67" s="182"/>
      <c r="Y67" s="182"/>
      <c r="Z67" s="182"/>
      <c r="AA67" s="182"/>
      <c r="AB67" s="182"/>
      <c r="AC67" s="182"/>
      <c r="AD67" s="182"/>
      <c r="AE67" s="182"/>
      <c r="AF67" s="191"/>
      <c r="AG67" s="194"/>
      <c r="AH67" s="194"/>
      <c r="AI67" s="191"/>
      <c r="AJ67" s="191"/>
      <c r="AK67" s="194"/>
      <c r="AL67" s="194"/>
      <c r="AM67" s="194"/>
      <c r="AN67" s="191"/>
      <c r="AO67" s="191"/>
      <c r="AP67" s="194"/>
      <c r="AQ67" s="194"/>
      <c r="AR67" s="194"/>
      <c r="AS67" s="194"/>
      <c r="AT67" s="194"/>
      <c r="AU67" s="184"/>
      <c r="AV67" s="184"/>
      <c r="AW67" s="184"/>
      <c r="AX67" s="184"/>
      <c r="AY67" s="184"/>
      <c r="AZ67" s="10"/>
      <c r="BA67" s="10"/>
      <c r="BB67" s="10"/>
      <c r="BC67" s="10"/>
      <c r="BN67" s="62">
        <f t="shared" ref="BN67:BN68" si="9">H67*1.08</f>
        <v>156.60000000000002</v>
      </c>
      <c r="BO67" s="62"/>
      <c r="BP67" s="63">
        <f t="shared" ref="BP67:BP68" si="10">CEILING(BN67, 5)</f>
        <v>160</v>
      </c>
    </row>
    <row r="68" spans="2:69" s="9" customFormat="1" x14ac:dyDescent="0.2">
      <c r="B68" s="10"/>
      <c r="C68" s="15" t="b">
        <v>0</v>
      </c>
      <c r="D68" s="17" t="s">
        <v>295</v>
      </c>
      <c r="E68" s="17"/>
      <c r="F68" s="18" t="str">
        <f>IF(AND(C68=TRUE,$Q$13=2,$Q$9=1),Q8,"")</f>
        <v/>
      </c>
      <c r="G68" s="77">
        <f>IF(AND($Q$13=2,C68=TRUE),$M$11,0)</f>
        <v>0</v>
      </c>
      <c r="H68" s="67">
        <v>175</v>
      </c>
      <c r="I68" s="67">
        <f>IF(OR($Q$13=2),(G68*H68),0)</f>
        <v>0</v>
      </c>
      <c r="J68" s="209"/>
      <c r="K68" s="209"/>
      <c r="L68" s="209"/>
      <c r="M68" s="209"/>
      <c r="N68" s="209"/>
      <c r="O68" s="10"/>
      <c r="P68" s="10"/>
      <c r="Q68" s="187" t="s">
        <v>175</v>
      </c>
      <c r="R68" s="188"/>
      <c r="S68" s="188"/>
      <c r="T68" s="188"/>
      <c r="U68" s="188"/>
      <c r="V68" s="188"/>
      <c r="W68" s="189"/>
      <c r="X68" s="79"/>
      <c r="Y68" s="79"/>
      <c r="Z68" s="84"/>
      <c r="AA68" s="84"/>
      <c r="AB68" s="84"/>
      <c r="AC68" s="84"/>
      <c r="AD68" s="84"/>
      <c r="AE68" s="84"/>
      <c r="AF68" s="85"/>
      <c r="AG68" s="85"/>
      <c r="AH68" s="85"/>
      <c r="AI68" s="85"/>
      <c r="AJ68" s="85"/>
      <c r="AK68" s="85"/>
      <c r="AL68" s="85"/>
      <c r="AM68" s="85"/>
      <c r="AN68" s="85"/>
      <c r="AO68" s="85"/>
      <c r="AP68" s="85"/>
      <c r="AQ68" s="85"/>
      <c r="AR68" s="85"/>
      <c r="AS68" s="85"/>
      <c r="AT68" s="85"/>
      <c r="AU68" s="86"/>
      <c r="AV68" s="86"/>
      <c r="AW68" s="86"/>
      <c r="AX68" s="86"/>
      <c r="AY68" s="87"/>
      <c r="AZ68" s="10"/>
      <c r="BA68" s="10"/>
      <c r="BB68" s="10"/>
      <c r="BC68" s="10"/>
      <c r="BN68" s="62">
        <f t="shared" si="9"/>
        <v>189</v>
      </c>
      <c r="BO68" s="62"/>
      <c r="BP68" s="63">
        <f t="shared" si="10"/>
        <v>190</v>
      </c>
    </row>
    <row r="69" spans="2:69" s="9" customFormat="1" ht="7.5" customHeight="1" x14ac:dyDescent="0.2">
      <c r="B69" s="93"/>
      <c r="C69" s="94"/>
      <c r="D69" s="94"/>
      <c r="E69" s="94"/>
      <c r="F69" s="94"/>
      <c r="G69" s="94"/>
      <c r="H69" s="94"/>
      <c r="I69" s="94"/>
      <c r="J69" s="209"/>
      <c r="K69" s="209"/>
      <c r="L69" s="209"/>
      <c r="M69" s="209"/>
      <c r="N69" s="209"/>
      <c r="O69" s="10"/>
      <c r="P69" s="200" t="s">
        <v>139</v>
      </c>
      <c r="Q69" s="186" t="s">
        <v>163</v>
      </c>
      <c r="R69" s="186" t="s">
        <v>74</v>
      </c>
      <c r="S69" s="186" t="s">
        <v>75</v>
      </c>
      <c r="T69" s="186" t="s">
        <v>168</v>
      </c>
      <c r="U69" s="186" t="s">
        <v>169</v>
      </c>
      <c r="V69" s="186" t="s">
        <v>233</v>
      </c>
      <c r="W69" s="186" t="s">
        <v>234</v>
      </c>
      <c r="X69" s="95" t="s">
        <v>176</v>
      </c>
      <c r="Y69" s="96"/>
      <c r="Z69" s="96"/>
      <c r="AA69" s="96"/>
      <c r="AB69" s="97"/>
      <c r="AC69" s="187" t="s">
        <v>178</v>
      </c>
      <c r="AD69" s="188"/>
      <c r="AE69" s="188"/>
      <c r="AF69" s="188"/>
      <c r="AG69" s="188"/>
      <c r="AH69" s="188"/>
      <c r="AI69" s="188"/>
      <c r="AJ69" s="188"/>
      <c r="AK69" s="188"/>
      <c r="AL69" s="188"/>
      <c r="AM69" s="188"/>
      <c r="AN69" s="188"/>
      <c r="AO69" s="189"/>
      <c r="AP69" s="187" t="s">
        <v>183</v>
      </c>
      <c r="AQ69" s="188"/>
      <c r="AR69" s="188"/>
      <c r="AS69" s="188"/>
      <c r="AT69" s="188"/>
      <c r="AU69" s="188"/>
      <c r="AV69" s="188"/>
      <c r="AW69" s="188"/>
      <c r="AX69" s="188"/>
      <c r="AY69" s="188"/>
      <c r="AZ69" s="188"/>
      <c r="BA69" s="188"/>
      <c r="BB69" s="188"/>
      <c r="BC69" s="188"/>
      <c r="BD69" s="188"/>
      <c r="BE69" s="188"/>
      <c r="BF69" s="188"/>
      <c r="BG69" s="189"/>
      <c r="BH69" s="204" t="s">
        <v>184</v>
      </c>
      <c r="BI69" s="205"/>
      <c r="BJ69" s="205"/>
      <c r="BK69" s="205"/>
      <c r="BL69" s="206"/>
      <c r="BN69" s="62"/>
      <c r="BO69" s="62"/>
      <c r="BP69" s="63"/>
    </row>
    <row r="70" spans="2:69" ht="12.75" customHeight="1" x14ac:dyDescent="0.2">
      <c r="B70" s="25" t="s">
        <v>300</v>
      </c>
      <c r="C70" s="26"/>
      <c r="D70" s="24"/>
      <c r="E70" s="24"/>
      <c r="F70" s="26"/>
      <c r="G70" s="51" t="s">
        <v>64</v>
      </c>
      <c r="H70" s="51" t="s">
        <v>47</v>
      </c>
      <c r="I70" s="51" t="s">
        <v>287</v>
      </c>
      <c r="J70" s="51"/>
      <c r="K70" s="72"/>
      <c r="L70" s="72"/>
      <c r="M70" s="53" t="s">
        <v>252</v>
      </c>
      <c r="N70" s="68">
        <f>SUM(I71:I79)</f>
        <v>0</v>
      </c>
      <c r="P70" s="200"/>
      <c r="Q70" s="186"/>
      <c r="R70" s="186"/>
      <c r="S70" s="186"/>
      <c r="T70" s="186"/>
      <c r="U70" s="186"/>
      <c r="V70" s="197"/>
      <c r="W70" s="186"/>
      <c r="X70" s="186" t="s">
        <v>170</v>
      </c>
      <c r="Y70" s="186" t="s">
        <v>76</v>
      </c>
      <c r="Z70" s="186" t="s">
        <v>171</v>
      </c>
      <c r="AA70" s="186" t="s">
        <v>173</v>
      </c>
      <c r="AB70" s="186" t="s">
        <v>172</v>
      </c>
      <c r="AC70" s="186" t="s">
        <v>174</v>
      </c>
      <c r="AD70" s="186" t="s">
        <v>223</v>
      </c>
      <c r="AE70" s="186" t="s">
        <v>222</v>
      </c>
      <c r="AF70" s="196" t="s">
        <v>238</v>
      </c>
      <c r="AG70" s="196" t="s">
        <v>237</v>
      </c>
      <c r="AH70" s="186" t="s">
        <v>225</v>
      </c>
      <c r="AI70" s="186" t="s">
        <v>224</v>
      </c>
      <c r="AJ70" s="186" t="s">
        <v>164</v>
      </c>
      <c r="AK70" s="186" t="s">
        <v>165</v>
      </c>
      <c r="AL70" s="186" t="s">
        <v>166</v>
      </c>
      <c r="AM70" s="186" t="s">
        <v>167</v>
      </c>
      <c r="AN70" s="196" t="s">
        <v>232</v>
      </c>
      <c r="AO70" s="186" t="s">
        <v>177</v>
      </c>
      <c r="AP70" s="190" t="s">
        <v>244</v>
      </c>
      <c r="AQ70" s="190" t="s">
        <v>243</v>
      </c>
      <c r="AR70" s="190" t="s">
        <v>239</v>
      </c>
      <c r="AS70" s="190" t="s">
        <v>240</v>
      </c>
      <c r="AT70" s="190" t="s">
        <v>241</v>
      </c>
      <c r="AU70" s="190" t="s">
        <v>245</v>
      </c>
      <c r="AV70" s="190" t="s">
        <v>246</v>
      </c>
      <c r="AW70" s="190" t="s">
        <v>247</v>
      </c>
      <c r="AX70" s="190" t="s">
        <v>151</v>
      </c>
      <c r="AY70" s="190" t="s">
        <v>152</v>
      </c>
      <c r="AZ70" s="190" t="s">
        <v>227</v>
      </c>
      <c r="BA70" s="190" t="s">
        <v>226</v>
      </c>
      <c r="BB70" s="190" t="s">
        <v>228</v>
      </c>
      <c r="BC70" s="190" t="s">
        <v>229</v>
      </c>
      <c r="BD70" s="190" t="s">
        <v>231</v>
      </c>
      <c r="BE70" s="190" t="s">
        <v>230</v>
      </c>
      <c r="BF70" s="190" t="s">
        <v>154</v>
      </c>
      <c r="BG70" s="190" t="s">
        <v>155</v>
      </c>
      <c r="BH70" s="192" t="s">
        <v>161</v>
      </c>
      <c r="BI70" s="192" t="s">
        <v>157</v>
      </c>
      <c r="BJ70" s="192" t="s">
        <v>158</v>
      </c>
      <c r="BK70" s="192" t="s">
        <v>159</v>
      </c>
      <c r="BL70" s="192" t="s">
        <v>160</v>
      </c>
      <c r="BM70" s="1"/>
    </row>
    <row r="71" spans="2:69" s="9" customFormat="1" ht="13.5" customHeight="1" x14ac:dyDescent="0.2">
      <c r="B71" s="10"/>
      <c r="C71" s="15" t="b">
        <v>0</v>
      </c>
      <c r="D71" s="10" t="s">
        <v>213</v>
      </c>
      <c r="E71" s="10"/>
      <c r="F71" s="16" t="str">
        <f>IF(AND($Q$13=1,$Q$7=2,Q9&lt;&gt;4),S8,IF(AND($Q$13=1,$Q$7=4,Q9&lt;&gt;4),S10,IF(AND($Q$13=1,$Q$7=5,Q9&lt;&gt;4),S11,IF(AND($Q$13=1,$Q$7=6,Q9&lt;&gt;4),S12,IF(AND($Q$13=1,$Q$7=8,Q9&lt;&gt;4),S14,"")))))</f>
        <v/>
      </c>
      <c r="G71" s="98">
        <f>IF(AND($Q$13=1,$Q$7=2,C71=TRUE,Q9&lt;&gt;4),M11,IF(AND($Q$13=1,$Q$7=4,C71=TRUE,Q9&lt;&gt;4),M11,IF(AND($Q$13=1,$Q$7=5,C71=TRUE,Q9&lt;&gt;4),M11,IF(AND($Q$13=1,$Q$7=6,C71=TRUE,Q9&lt;&gt;4),M11,IF(AND($Q$13=1,$Q$7=8,C71=TRUE,Q9&lt;&gt;4),M11,0)))))</f>
        <v>0</v>
      </c>
      <c r="H71" s="99">
        <v>130</v>
      </c>
      <c r="I71" s="99">
        <f t="shared" ref="I71:I79" si="11">G71*H71</f>
        <v>0</v>
      </c>
      <c r="J71" s="208" t="s">
        <v>325</v>
      </c>
      <c r="K71" s="208"/>
      <c r="L71" s="208"/>
      <c r="M71" s="208"/>
      <c r="N71" s="208"/>
      <c r="O71" s="10"/>
      <c r="P71" s="11" t="s">
        <v>140</v>
      </c>
      <c r="Q71" s="100" t="s">
        <v>221</v>
      </c>
      <c r="R71" s="100" t="s">
        <v>273</v>
      </c>
      <c r="S71" s="100" t="s">
        <v>274</v>
      </c>
      <c r="T71" s="100">
        <v>3850559</v>
      </c>
      <c r="U71" s="100">
        <v>8692305</v>
      </c>
      <c r="V71" s="100" t="s">
        <v>282</v>
      </c>
      <c r="W71" s="100" t="s">
        <v>283</v>
      </c>
      <c r="X71" s="186"/>
      <c r="Y71" s="186"/>
      <c r="Z71" s="186"/>
      <c r="AA71" s="186"/>
      <c r="AB71" s="186"/>
      <c r="AC71" s="186"/>
      <c r="AD71" s="186"/>
      <c r="AE71" s="186"/>
      <c r="AF71" s="197"/>
      <c r="AG71" s="197"/>
      <c r="AH71" s="186"/>
      <c r="AI71" s="186"/>
      <c r="AJ71" s="186"/>
      <c r="AK71" s="186"/>
      <c r="AL71" s="186"/>
      <c r="AM71" s="186"/>
      <c r="AN71" s="197"/>
      <c r="AO71" s="186"/>
      <c r="AP71" s="190"/>
      <c r="AQ71" s="191"/>
      <c r="AR71" s="190"/>
      <c r="AS71" s="191"/>
      <c r="AT71" s="191"/>
      <c r="AU71" s="191"/>
      <c r="AV71" s="191"/>
      <c r="AW71" s="191"/>
      <c r="AX71" s="190"/>
      <c r="AY71" s="190"/>
      <c r="AZ71" s="190"/>
      <c r="BA71" s="191"/>
      <c r="BB71" s="191"/>
      <c r="BC71" s="191"/>
      <c r="BD71" s="191"/>
      <c r="BE71" s="191"/>
      <c r="BF71" s="190"/>
      <c r="BG71" s="190"/>
      <c r="BH71" s="192"/>
      <c r="BI71" s="192"/>
      <c r="BJ71" s="192"/>
      <c r="BK71" s="192"/>
      <c r="BL71" s="192"/>
      <c r="BM71" s="10"/>
      <c r="BN71" s="62">
        <f t="shared" ref="BN71:BN79" si="12">H71*1.08</f>
        <v>140.4</v>
      </c>
      <c r="BO71" s="62"/>
      <c r="BP71" s="63">
        <f t="shared" ref="BP71:BP77" si="13">CEILING(BN71, 5)</f>
        <v>145</v>
      </c>
      <c r="BQ71" s="101"/>
    </row>
    <row r="72" spans="2:69" s="9" customFormat="1" x14ac:dyDescent="0.2">
      <c r="B72" s="10"/>
      <c r="C72" s="15" t="b">
        <v>0</v>
      </c>
      <c r="D72" s="17" t="s">
        <v>242</v>
      </c>
      <c r="E72" s="17"/>
      <c r="F72" s="18" t="str">
        <f>IF(AND($Q$13=1,$Q$7=2,Q9&lt;&gt;4),S8,IF(AND($Q$13=1,$Q$7=4,Q9&lt;&gt;4),S10,IF(AND($Q$13=1,$Q$7=5,Q9&lt;&gt;4),S11,IF(AND($Q$13=1,$Q$7=6,Q9&lt;&gt;4),S12,IF(AND($Q$13=1,$Q$7=8,Q9&lt;&gt;4),S14,"")))))</f>
        <v/>
      </c>
      <c r="G72" s="77">
        <f>IF(AND($Q$13=1,$Q$7=2,C72=TRUE,Q9&lt;&gt;4),$M$11,IF(AND($Q$13=1,$Q$7=4,C72=TRUE,Q9&lt;&gt;4),$M$11,IF(AND($Q$13=1,$Q$7=5,C72=TRUE,Q9&lt;&gt;4),$M$11,IF(AND($Q$13=1,$Q$7=6,C72=TRUE,Q9&lt;&gt;4),$M$11,IF(AND($Q$13=1,$Q$7=8,C72=TRUE,Q9&lt;&gt;4),$M$11,0)))))</f>
        <v>0</v>
      </c>
      <c r="H72" s="67">
        <v>130</v>
      </c>
      <c r="I72" s="67">
        <f t="shared" si="11"/>
        <v>0</v>
      </c>
      <c r="J72" s="209"/>
      <c r="K72" s="209"/>
      <c r="L72" s="209"/>
      <c r="M72" s="209"/>
      <c r="N72" s="209"/>
      <c r="O72" s="10"/>
      <c r="P72" s="80" t="s">
        <v>141</v>
      </c>
      <c r="Q72" s="81">
        <v>8.49</v>
      </c>
      <c r="R72" s="81">
        <v>11.99</v>
      </c>
      <c r="S72" s="81">
        <v>10.99</v>
      </c>
      <c r="T72" s="81">
        <v>15.37</v>
      </c>
      <c r="U72" s="81">
        <v>17.3</v>
      </c>
      <c r="V72" s="81">
        <v>79.5</v>
      </c>
      <c r="W72" s="81">
        <v>96.3</v>
      </c>
      <c r="X72" s="100"/>
      <c r="Y72" s="100">
        <v>359771</v>
      </c>
      <c r="Z72" s="100"/>
      <c r="AA72" s="100"/>
      <c r="AB72" s="100"/>
      <c r="AC72" s="100" t="s">
        <v>275</v>
      </c>
      <c r="AD72" s="100" t="s">
        <v>275</v>
      </c>
      <c r="AE72" s="100" t="s">
        <v>276</v>
      </c>
      <c r="AF72" s="100" t="s">
        <v>248</v>
      </c>
      <c r="AG72" s="100" t="s">
        <v>249</v>
      </c>
      <c r="AH72" s="100" t="s">
        <v>277</v>
      </c>
      <c r="AI72" s="100" t="s">
        <v>285</v>
      </c>
      <c r="AJ72" s="100">
        <v>3847302</v>
      </c>
      <c r="AK72" s="100">
        <v>3847303</v>
      </c>
      <c r="AL72" s="100">
        <v>4681794</v>
      </c>
      <c r="AM72" s="100">
        <v>21681795</v>
      </c>
      <c r="AN72" s="100" t="s">
        <v>286</v>
      </c>
      <c r="AO72" s="100"/>
      <c r="AP72" s="102"/>
      <c r="AQ72" s="102"/>
      <c r="AR72" s="102"/>
      <c r="AS72" s="102"/>
      <c r="AT72" s="102"/>
      <c r="AU72" s="102"/>
      <c r="AV72" s="102"/>
      <c r="AW72" s="102"/>
      <c r="AX72" s="102"/>
      <c r="AY72" s="102"/>
      <c r="AZ72" s="102"/>
      <c r="BA72" s="102"/>
      <c r="BB72" s="102"/>
      <c r="BC72" s="102"/>
      <c r="BD72" s="102"/>
      <c r="BE72" s="102"/>
      <c r="BF72" s="102"/>
      <c r="BG72" s="102"/>
      <c r="BH72" s="102"/>
      <c r="BI72" s="102"/>
      <c r="BJ72" s="102"/>
      <c r="BK72" s="102"/>
      <c r="BL72" s="102"/>
      <c r="BM72" s="103"/>
      <c r="BN72" s="62">
        <f t="shared" si="12"/>
        <v>140.4</v>
      </c>
      <c r="BO72" s="62"/>
      <c r="BP72" s="63">
        <f t="shared" si="13"/>
        <v>145</v>
      </c>
    </row>
    <row r="73" spans="2:69" s="9" customFormat="1" x14ac:dyDescent="0.2">
      <c r="B73" s="10"/>
      <c r="C73" s="15" t="b">
        <v>0</v>
      </c>
      <c r="D73" s="17" t="s">
        <v>73</v>
      </c>
      <c r="E73" s="17"/>
      <c r="F73" s="18" t="str">
        <f>IF(AND($Q$13=2,$Q$7=1,$Q$15=1),S7,IF(AND($Q$13=2,$Q$7=3,$Q$15=1),S9,IF(AND($Q$13=2,$Q$7=5,$Q$15=1),S11,IF(AND($Q$13=2,$Q$7=7,$Q$15=1),S13,IF(AND($Q$13=2,$Q$7=8,$Q$15=1),S14,"")))))</f>
        <v/>
      </c>
      <c r="G73" s="77">
        <f>IF(AND($Q$13=2,$Q$7=1,C73=TRUE,$Q$15=1),$M$11,IF(AND($Q$13=2,$Q$7=3,C73=TRUE,$Q$15=1),$M$11,IF(AND($Q$13=2,$Q$7=5,C73=TRUE,$Q$15=1),$M$11,IF(AND($Q$13=2,$Q$7=7,C73=TRUE,$Q$15=1),$M$11,IF(AND($Q$13=2,$Q$7=8,C73=TRUE,$Q$15=1),$M$11,0)))))</f>
        <v>0</v>
      </c>
      <c r="H73" s="67">
        <v>140</v>
      </c>
      <c r="I73" s="67">
        <f t="shared" si="11"/>
        <v>0</v>
      </c>
      <c r="J73" s="209"/>
      <c r="K73" s="209"/>
      <c r="L73" s="209"/>
      <c r="M73" s="209"/>
      <c r="N73" s="209"/>
      <c r="O73" s="10"/>
      <c r="P73" s="10"/>
      <c r="Q73" s="88"/>
      <c r="R73" s="88"/>
      <c r="S73" s="88"/>
      <c r="T73" s="88"/>
      <c r="U73" s="88"/>
      <c r="V73" s="88"/>
      <c r="W73" s="88"/>
      <c r="X73" s="81">
        <v>19.95</v>
      </c>
      <c r="Y73" s="81">
        <v>12.7</v>
      </c>
      <c r="Z73" s="81">
        <v>12.7</v>
      </c>
      <c r="AA73" s="81">
        <v>12.7</v>
      </c>
      <c r="AB73" s="81">
        <v>12.7</v>
      </c>
      <c r="AC73" s="81">
        <v>9.99</v>
      </c>
      <c r="AD73" s="81">
        <v>9.99</v>
      </c>
      <c r="AE73" s="81">
        <v>36.99</v>
      </c>
      <c r="AF73" s="81">
        <v>18.95</v>
      </c>
      <c r="AG73" s="81">
        <v>60.99</v>
      </c>
      <c r="AH73" s="81">
        <v>13.99</v>
      </c>
      <c r="AI73" s="81">
        <v>57.95</v>
      </c>
      <c r="AJ73" s="81">
        <v>10.23</v>
      </c>
      <c r="AK73" s="81">
        <v>36.96</v>
      </c>
      <c r="AL73" s="81">
        <v>15.85</v>
      </c>
      <c r="AM73" s="81">
        <v>57.71</v>
      </c>
      <c r="AN73" s="81">
        <v>10.050000000000001</v>
      </c>
      <c r="AO73" s="81">
        <v>9.99</v>
      </c>
      <c r="AP73" s="81">
        <f>Q72+(AD73*2)+AE73</f>
        <v>65.460000000000008</v>
      </c>
      <c r="AQ73" s="81">
        <f>Q72+(2*AF73)+AG73</f>
        <v>107.38</v>
      </c>
      <c r="AR73" s="81">
        <f>R72+AE73</f>
        <v>48.980000000000004</v>
      </c>
      <c r="AS73" s="81">
        <f>R72+AD73+AE73</f>
        <v>58.97</v>
      </c>
      <c r="AT73" s="81">
        <f>R72+(AD73*2)+AE73</f>
        <v>68.960000000000008</v>
      </c>
      <c r="AU73" s="81">
        <f>R72+AG73</f>
        <v>72.98</v>
      </c>
      <c r="AV73" s="81">
        <f>R72+AF73+AG73</f>
        <v>91.93</v>
      </c>
      <c r="AW73" s="81">
        <f>R72+(2*AF73)+AG73</f>
        <v>110.88</v>
      </c>
      <c r="AX73" s="81">
        <f>S72+(AH73*2)+AI73</f>
        <v>96.92</v>
      </c>
      <c r="AY73" s="81">
        <f>S72+(AH73*3)+AI73</f>
        <v>110.91</v>
      </c>
      <c r="AZ73" s="81">
        <f>T72+AK73</f>
        <v>52.33</v>
      </c>
      <c r="BA73" s="81">
        <f>U72+AJ73+AK73</f>
        <v>64.490000000000009</v>
      </c>
      <c r="BB73" s="81">
        <f>U72+(AJ73*2)+AK73</f>
        <v>74.72</v>
      </c>
      <c r="BC73" s="81">
        <f>U72+AM73</f>
        <v>75.010000000000005</v>
      </c>
      <c r="BD73" s="81">
        <f>U72+AL73+AM73</f>
        <v>90.86</v>
      </c>
      <c r="BE73" s="81">
        <f>U72+(AL73*2)+AM73</f>
        <v>106.71000000000001</v>
      </c>
      <c r="BF73" s="81">
        <f>V72+(AN73*7)</f>
        <v>149.85000000000002</v>
      </c>
      <c r="BG73" s="81">
        <f>W72+(AN73*8)</f>
        <v>176.7</v>
      </c>
      <c r="BH73" s="81">
        <f>X73+(AO73*3)</f>
        <v>49.92</v>
      </c>
      <c r="BI73" s="81">
        <f>X73+(AO73*3)</f>
        <v>49.92</v>
      </c>
      <c r="BJ73" s="81">
        <f>X73+(AO73*3)</f>
        <v>49.92</v>
      </c>
      <c r="BK73" s="81">
        <f>X73+(AO73*3)</f>
        <v>49.92</v>
      </c>
      <c r="BL73" s="81">
        <f>X73+(AO73*3)</f>
        <v>49.92</v>
      </c>
      <c r="BM73" s="10"/>
      <c r="BN73" s="62">
        <f t="shared" si="12"/>
        <v>151.20000000000002</v>
      </c>
      <c r="BO73" s="62"/>
      <c r="BP73" s="63">
        <f t="shared" si="13"/>
        <v>155</v>
      </c>
    </row>
    <row r="74" spans="2:69" s="9" customFormat="1" x14ac:dyDescent="0.2">
      <c r="B74" s="10"/>
      <c r="C74" s="15" t="b">
        <v>0</v>
      </c>
      <c r="D74" s="17" t="s">
        <v>72</v>
      </c>
      <c r="E74" s="17"/>
      <c r="F74" s="18" t="str">
        <f>IF(AND($Q$13=2,$Q$7=1,$Q$15&gt;1),S7,IF(AND($Q$13=2,$Q$7=3,$Q$15&gt;1),S9,IF(AND($Q$13=2,$Q$7=5,$Q$15&gt;1),S11,IF(AND($Q$13=2,$Q$7=7,$Q$15&gt;1),S13,IF(AND($Q$13=2,$Q$7=8,$Q$15&gt;1),S14,"")))))</f>
        <v/>
      </c>
      <c r="G74" s="77">
        <f>IF(AND($Q$13=2,$Q$7=1,C74=TRUE,$Q$15&gt;1),$M$11,IF(AND($Q$13=2,$Q$7=3,C74=TRUE,$Q$15&gt;1),$M$11,IF(AND($Q$13=2,$Q$7=5,C74=TRUE,$Q$15&gt;1),$M$11,IF(AND($Q$13=2,$Q$7=7,C74=TRUE,$Q$15&gt;1),$M$11,IF(AND($Q$13=2,$Q$7=8,C74=TRUE,$Q$15&gt;1),$M$11,0)))))</f>
        <v>0</v>
      </c>
      <c r="H74" s="67">
        <v>205</v>
      </c>
      <c r="I74" s="67">
        <f t="shared" si="11"/>
        <v>0</v>
      </c>
      <c r="J74" s="209"/>
      <c r="K74" s="209"/>
      <c r="L74" s="209"/>
      <c r="M74" s="209"/>
      <c r="N74" s="209"/>
      <c r="O74" s="10"/>
      <c r="P74" s="10"/>
      <c r="Q74" s="10"/>
      <c r="R74" s="10"/>
      <c r="S74" s="10"/>
      <c r="T74" s="10"/>
      <c r="U74" s="10"/>
      <c r="V74" s="10"/>
      <c r="W74" s="10"/>
      <c r="X74" s="88"/>
      <c r="Y74" s="88"/>
      <c r="Z74" s="88"/>
      <c r="AA74" s="88"/>
      <c r="AB74" s="88"/>
      <c r="AC74" s="88"/>
      <c r="AD74" s="88"/>
      <c r="AE74" s="88"/>
      <c r="AF74" s="88"/>
      <c r="AG74" s="88"/>
      <c r="AH74" s="88"/>
      <c r="AI74" s="88"/>
      <c r="AJ74" s="88"/>
      <c r="AK74" s="88"/>
      <c r="AL74" s="88"/>
      <c r="AM74" s="88"/>
      <c r="AN74" s="88"/>
      <c r="AO74" s="88"/>
      <c r="AP74" s="88"/>
      <c r="AQ74" s="88"/>
      <c r="AR74" s="88"/>
      <c r="AS74" s="88"/>
      <c r="AT74" s="88"/>
      <c r="AU74" s="88"/>
      <c r="AV74" s="88"/>
      <c r="AW74" s="88"/>
      <c r="AX74" s="88"/>
      <c r="AY74" s="10"/>
      <c r="AZ74" s="10"/>
      <c r="BA74" s="10"/>
      <c r="BB74" s="10"/>
      <c r="BC74" s="10"/>
      <c r="BN74" s="62">
        <f t="shared" si="12"/>
        <v>221.4</v>
      </c>
      <c r="BO74" s="62"/>
      <c r="BP74" s="63">
        <f t="shared" si="13"/>
        <v>225</v>
      </c>
    </row>
    <row r="75" spans="2:69" s="9" customFormat="1" x14ac:dyDescent="0.2">
      <c r="B75" s="10"/>
      <c r="C75" s="15" t="b">
        <v>0</v>
      </c>
      <c r="D75" s="17" t="s">
        <v>70</v>
      </c>
      <c r="E75" s="17"/>
      <c r="F75" s="18" t="str">
        <f>IF(AND($Q$13=1,$Q$11=1),V7,IF(AND($Q$13=1,$Q$11=2),V8,IF(AND($Q$13=1,$Q$11=3),V9,IF(AND($Q$13=1,$Q$11=4),V10,IF(AND($Q$13=1,$Q$11=5),V11,IF(AND($Q$13=1,$Q$11=6),V12,""))))))</f>
        <v/>
      </c>
      <c r="G75" s="77">
        <f>IF(AND($Q$13=1,$Q$11=1,C75=TRUE),1,IF(AND($Q$13=1,$Q$11=2,C75=TRUE),1,IF(AND($Q$13=1,$Q$11=3,C75=TRUE),1,IF(AND($Q$13=1,$Q$11=4,C75=TRUE),1,IF(AND($Q$13=1,$Q$11=5,C75=TRUE),1,IF(AND($Q$13=1,$Q$11=6,C75=TRUE),1,0))))))</f>
        <v>0</v>
      </c>
      <c r="H75" s="67">
        <v>115</v>
      </c>
      <c r="I75" s="67">
        <f t="shared" si="11"/>
        <v>0</v>
      </c>
      <c r="J75" s="209"/>
      <c r="K75" s="209"/>
      <c r="L75" s="209"/>
      <c r="M75" s="209"/>
      <c r="N75" s="209"/>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0"/>
      <c r="AS75" s="10"/>
      <c r="AT75" s="10"/>
      <c r="AU75" s="10"/>
      <c r="AV75" s="10"/>
      <c r="AW75" s="10"/>
      <c r="AX75" s="10"/>
      <c r="AY75" s="10"/>
      <c r="AZ75" s="10"/>
      <c r="BA75" s="10"/>
      <c r="BB75" s="10"/>
      <c r="BC75" s="10"/>
      <c r="BN75" s="62">
        <f t="shared" si="12"/>
        <v>124.2</v>
      </c>
      <c r="BO75" s="62"/>
      <c r="BP75" s="63">
        <f t="shared" si="13"/>
        <v>125</v>
      </c>
    </row>
    <row r="76" spans="2:69" s="9" customFormat="1" x14ac:dyDescent="0.2">
      <c r="B76" s="10"/>
      <c r="C76" s="15" t="b">
        <v>0</v>
      </c>
      <c r="D76" s="17" t="s">
        <v>71</v>
      </c>
      <c r="E76" s="17"/>
      <c r="F76" s="18" t="str">
        <f>IF(AND($Q$13=2,$Q$11=1),V7,IF(AND($Q$13=2,$Q$11=2),V8,IF(AND($Q$13=2,$Q$11=3),V9,IF(AND($Q$13=2,$Q$11=4),V10,IF(AND($Q$13=2,$Q$11=5),V11,IF(AND($Q$13=2,$Q$11=6),V12,""))))))</f>
        <v/>
      </c>
      <c r="G76" s="77">
        <f>IF(AND($Q$13=2,$Q$11=1,C76=TRUE),1,IF(AND($Q$13=2,$Q$11=2,C76=TRUE),1,IF(AND($Q$13=2,$Q$11=3,C76=TRUE),1,IF(AND($Q$13=2,$Q$11=4,C76=TRUE),1,IF(AND($Q$13=2,$Q$11=5,C76=TRUE),1,IF(AND($Q$13=2,$Q$11=6,C76=TRUE),1,0))))))</f>
        <v>0</v>
      </c>
      <c r="H76" s="67">
        <v>140</v>
      </c>
      <c r="I76" s="67">
        <f t="shared" si="11"/>
        <v>0</v>
      </c>
      <c r="J76" s="209"/>
      <c r="K76" s="209"/>
      <c r="L76" s="209"/>
      <c r="M76" s="209"/>
      <c r="N76" s="209"/>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c r="AR76" s="10"/>
      <c r="AS76" s="10"/>
      <c r="AT76" s="10"/>
      <c r="AU76" s="10"/>
      <c r="AV76" s="10"/>
      <c r="AW76" s="10"/>
      <c r="AX76" s="10"/>
      <c r="AY76" s="10"/>
      <c r="AZ76" s="10"/>
      <c r="BA76" s="10"/>
      <c r="BB76" s="10"/>
      <c r="BC76" s="10"/>
      <c r="BN76" s="62">
        <f t="shared" si="12"/>
        <v>151.20000000000002</v>
      </c>
      <c r="BO76" s="62"/>
      <c r="BP76" s="63">
        <f t="shared" si="13"/>
        <v>155</v>
      </c>
    </row>
    <row r="77" spans="2:69" s="9" customFormat="1" x14ac:dyDescent="0.2">
      <c r="B77" s="10"/>
      <c r="C77" s="15" t="b">
        <v>0</v>
      </c>
      <c r="D77" s="17" t="s">
        <v>318</v>
      </c>
      <c r="E77" s="17"/>
      <c r="F77" s="18"/>
      <c r="G77" s="77">
        <f>IF(C77=TRUE,SUM(G71:G76),0)</f>
        <v>0</v>
      </c>
      <c r="H77" s="67">
        <v>125</v>
      </c>
      <c r="I77" s="67">
        <f t="shared" si="11"/>
        <v>0</v>
      </c>
      <c r="J77" s="209"/>
      <c r="K77" s="209"/>
      <c r="L77" s="209"/>
      <c r="M77" s="209"/>
      <c r="N77" s="209"/>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N77" s="62">
        <f t="shared" si="12"/>
        <v>135</v>
      </c>
      <c r="BO77" s="62"/>
      <c r="BP77" s="63">
        <f t="shared" si="13"/>
        <v>135</v>
      </c>
    </row>
    <row r="78" spans="2:69" s="9" customFormat="1" x14ac:dyDescent="0.2">
      <c r="B78" s="10"/>
      <c r="C78" s="15" t="b">
        <v>1</v>
      </c>
      <c r="D78" s="17" t="s">
        <v>69</v>
      </c>
      <c r="E78" s="17"/>
      <c r="F78" s="18"/>
      <c r="G78" s="77">
        <f>SUM(G71:G77)</f>
        <v>0</v>
      </c>
      <c r="H78" s="67">
        <v>5</v>
      </c>
      <c r="I78" s="67">
        <f t="shared" si="11"/>
        <v>0</v>
      </c>
      <c r="J78" s="209"/>
      <c r="K78" s="209"/>
      <c r="L78" s="209"/>
      <c r="M78" s="209"/>
      <c r="N78" s="209"/>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N78" s="62">
        <f t="shared" si="12"/>
        <v>5.4</v>
      </c>
      <c r="BO78" s="62"/>
      <c r="BP78" s="63">
        <v>4</v>
      </c>
    </row>
    <row r="79" spans="2:69" s="9" customFormat="1" x14ac:dyDescent="0.2">
      <c r="B79" s="10"/>
      <c r="C79" s="15" t="b">
        <v>1</v>
      </c>
      <c r="D79" s="17" t="s">
        <v>63</v>
      </c>
      <c r="E79" s="17"/>
      <c r="F79" s="18"/>
      <c r="G79" s="77">
        <f>SUM(G71:G77)</f>
        <v>0</v>
      </c>
      <c r="H79" s="67">
        <v>10</v>
      </c>
      <c r="I79" s="67">
        <f t="shared" si="11"/>
        <v>0</v>
      </c>
      <c r="J79" s="209"/>
      <c r="K79" s="209"/>
      <c r="L79" s="209"/>
      <c r="M79" s="209"/>
      <c r="N79" s="209"/>
      <c r="O79" s="10"/>
      <c r="P79" s="10"/>
      <c r="Q79" s="187" t="s">
        <v>210</v>
      </c>
      <c r="R79" s="188"/>
      <c r="S79" s="188"/>
      <c r="T79" s="189"/>
      <c r="U79" s="104" t="s">
        <v>186</v>
      </c>
      <c r="V79" s="105"/>
      <c r="W79" s="105"/>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N79" s="62">
        <f t="shared" si="12"/>
        <v>10.8</v>
      </c>
      <c r="BO79" s="62"/>
      <c r="BP79" s="63">
        <f>CEILING(BN79, 5)</f>
        <v>15</v>
      </c>
    </row>
    <row r="80" spans="2:69" s="9" customFormat="1" ht="7.5" customHeight="1" x14ac:dyDescent="0.2">
      <c r="B80" s="219"/>
      <c r="C80" s="220"/>
      <c r="D80" s="220"/>
      <c r="E80" s="220"/>
      <c r="F80" s="220"/>
      <c r="G80" s="220"/>
      <c r="H80" s="220"/>
      <c r="I80" s="220"/>
      <c r="J80" s="220"/>
      <c r="K80" s="220"/>
      <c r="L80" s="220"/>
      <c r="M80" s="220"/>
      <c r="N80" s="220"/>
      <c r="O80" s="10"/>
      <c r="P80" s="10"/>
      <c r="Q80" s="186" t="s">
        <v>195</v>
      </c>
      <c r="R80" s="186" t="s">
        <v>196</v>
      </c>
      <c r="S80" s="186" t="s">
        <v>197</v>
      </c>
      <c r="T80" s="186" t="s">
        <v>198</v>
      </c>
      <c r="U80" s="186" t="s">
        <v>191</v>
      </c>
      <c r="V80" s="186" t="s">
        <v>192</v>
      </c>
      <c r="W80" s="186" t="s">
        <v>193</v>
      </c>
      <c r="X80" s="106"/>
      <c r="Y80" s="10"/>
      <c r="Z80" s="10"/>
      <c r="AA80" s="10"/>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AY80" s="10"/>
      <c r="AZ80" s="10"/>
      <c r="BA80" s="10"/>
      <c r="BB80" s="10"/>
      <c r="BC80" s="10"/>
      <c r="BN80" s="62"/>
      <c r="BO80" s="62"/>
      <c r="BP80" s="63"/>
    </row>
    <row r="81" spans="2:68" x14ac:dyDescent="0.2">
      <c r="B81" s="25" t="s">
        <v>301</v>
      </c>
      <c r="C81" s="26"/>
      <c r="D81" s="24"/>
      <c r="E81" s="24"/>
      <c r="F81" s="26"/>
      <c r="G81" s="51" t="s">
        <v>64</v>
      </c>
      <c r="H81" s="51" t="s">
        <v>47</v>
      </c>
      <c r="I81" s="51" t="s">
        <v>287</v>
      </c>
      <c r="J81" s="51"/>
      <c r="K81" s="72"/>
      <c r="L81" s="72"/>
      <c r="M81" s="53" t="s">
        <v>252</v>
      </c>
      <c r="N81" s="68">
        <f>SUM(I82:I90)</f>
        <v>0</v>
      </c>
      <c r="P81" s="2" t="s">
        <v>139</v>
      </c>
      <c r="Q81" s="186"/>
      <c r="R81" s="186"/>
      <c r="S81" s="186"/>
      <c r="T81" s="186"/>
      <c r="U81" s="186"/>
      <c r="V81" s="186"/>
      <c r="W81" s="186"/>
      <c r="X81" s="186" t="s">
        <v>194</v>
      </c>
    </row>
    <row r="82" spans="2:68" s="9" customFormat="1" ht="13.5" customHeight="1" x14ac:dyDescent="0.2">
      <c r="B82" s="10"/>
      <c r="C82" s="15" t="b">
        <v>0</v>
      </c>
      <c r="D82" s="10" t="s">
        <v>77</v>
      </c>
      <c r="E82" s="10"/>
      <c r="F82" s="16" t="str">
        <f>IF(AND($Q$9=5,$Q$7=4),T11,IF(AND($Q$9=6,$Q$7=4),T12,IF(AND($Q$9=7,$Q$7=5),T13,IF(AND($Q$9=8,$Q$7=5),T14,IF(AND($Q$9=9),T15,"")))))</f>
        <v/>
      </c>
      <c r="G82" s="107">
        <f>IF(AND(C82=TRUE,$Q$9=5,$Q$7=4),$M$11,IF(AND(C82=TRUE,$Q$9=6,$Q$7=4),$M$11,IF(AND(C82=TRUE,$Q$9=7,$Q$7=5),$M$11,IF(AND(C82=TRUE,$Q$9=8,$Q$7=5),$M$11,IF(AND(C82=TRUE,$Q$9=9),$M$11,0)))))</f>
        <v>0</v>
      </c>
      <c r="H82" s="66">
        <v>125</v>
      </c>
      <c r="I82" s="66">
        <f t="shared" ref="I82:I90" si="14">G82*H82</f>
        <v>0</v>
      </c>
      <c r="J82" s="208" t="s">
        <v>323</v>
      </c>
      <c r="K82" s="208"/>
      <c r="L82" s="208"/>
      <c r="M82" s="208"/>
      <c r="N82" s="208"/>
      <c r="O82" s="10"/>
      <c r="P82" s="80" t="s">
        <v>140</v>
      </c>
      <c r="Q82" s="86"/>
      <c r="R82" s="86"/>
      <c r="S82" s="86"/>
      <c r="T82" s="86"/>
      <c r="U82" s="86"/>
      <c r="V82" s="86"/>
      <c r="W82" s="86"/>
      <c r="X82" s="186"/>
      <c r="Y82" s="109"/>
      <c r="Z82" s="109"/>
      <c r="AA82" s="109"/>
      <c r="AB82" s="109"/>
      <c r="AC82" s="109"/>
      <c r="AD82" s="109"/>
      <c r="AE82" s="109"/>
      <c r="AF82" s="109"/>
      <c r="AG82" s="109"/>
      <c r="AH82" s="109"/>
      <c r="AI82" s="109"/>
      <c r="AJ82" s="109"/>
      <c r="AK82" s="109"/>
      <c r="AL82" s="109"/>
      <c r="AM82" s="109"/>
      <c r="AN82" s="109"/>
      <c r="AO82" s="109"/>
      <c r="AP82" s="10"/>
      <c r="AQ82" s="10"/>
      <c r="AR82" s="10"/>
      <c r="AS82" s="10"/>
      <c r="AT82" s="10"/>
      <c r="AU82" s="10"/>
      <c r="AV82" s="10"/>
      <c r="AW82" s="10"/>
      <c r="AX82" s="10"/>
      <c r="AY82" s="10"/>
      <c r="AZ82" s="10"/>
      <c r="BA82" s="10"/>
      <c r="BB82" s="10"/>
      <c r="BC82" s="10"/>
      <c r="BN82" s="62">
        <f t="shared" ref="BN82:BN90" si="15">H82*1.08</f>
        <v>135</v>
      </c>
      <c r="BO82" s="62"/>
      <c r="BP82" s="63">
        <f t="shared" ref="BP82:BP88" si="16">CEILING(BN82, 5)</f>
        <v>135</v>
      </c>
    </row>
    <row r="83" spans="2:68" s="9" customFormat="1" x14ac:dyDescent="0.2">
      <c r="B83" s="10"/>
      <c r="C83" s="15" t="b">
        <v>0</v>
      </c>
      <c r="D83" s="17" t="s">
        <v>78</v>
      </c>
      <c r="E83" s="17"/>
      <c r="F83" s="18" t="str">
        <f>IF(AND($Q$9=5,$Q$7=4),T11,IF(AND($Q$9=6,$Q$7=4),T12,IF(AND($Q$9=7,$Q$7=5),T13,IF(AND($Q$9=8,$Q$7=5),T14,IF(AND($Q$9=9),T15,"")))))</f>
        <v/>
      </c>
      <c r="G83" s="108">
        <f>IF(AND(C83=TRUE,$Q$9=5,$Q$7=4),$M$11,IF(AND(C83=TRUE,$Q$9=6,$Q$7=4),$M$11,IF(AND(C83=TRUE,$Q$9=7,$Q$7=5),$M$11,IF(AND(C83=TRUE,$Q$9=8,$Q$7=5),$M$11,IF(AND(C83=TRUE,$Q$9=9),$M$11,0)))))</f>
        <v>0</v>
      </c>
      <c r="H83" s="67">
        <v>260</v>
      </c>
      <c r="I83" s="67">
        <f t="shared" si="14"/>
        <v>0</v>
      </c>
      <c r="J83" s="209"/>
      <c r="K83" s="209"/>
      <c r="L83" s="209"/>
      <c r="M83" s="209"/>
      <c r="N83" s="209"/>
      <c r="O83" s="10"/>
      <c r="P83" s="80" t="s">
        <v>141</v>
      </c>
      <c r="Q83" s="81">
        <v>42.62</v>
      </c>
      <c r="R83" s="81">
        <v>62.52</v>
      </c>
      <c r="S83" s="81">
        <v>83.37</v>
      </c>
      <c r="T83" s="81">
        <v>83.12</v>
      </c>
      <c r="U83" s="81">
        <v>54.53</v>
      </c>
      <c r="V83" s="81">
        <v>72.790000000000006</v>
      </c>
      <c r="W83" s="81">
        <v>179.84</v>
      </c>
      <c r="X83" s="86"/>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N83" s="62">
        <f t="shared" si="15"/>
        <v>280.8</v>
      </c>
      <c r="BO83" s="62"/>
      <c r="BP83" s="63">
        <f t="shared" si="16"/>
        <v>285</v>
      </c>
    </row>
    <row r="84" spans="2:68" s="9" customFormat="1" x14ac:dyDescent="0.2">
      <c r="B84" s="10"/>
      <c r="C84" s="15" t="b">
        <v>0</v>
      </c>
      <c r="D84" s="17" t="s">
        <v>79</v>
      </c>
      <c r="E84" s="17"/>
      <c r="F84" s="18"/>
      <c r="G84" s="108">
        <f>IF(AND(Q9&gt;4,C84=TRUE),$M$11,0)</f>
        <v>0</v>
      </c>
      <c r="H84" s="67">
        <v>115</v>
      </c>
      <c r="I84" s="67">
        <f t="shared" si="14"/>
        <v>0</v>
      </c>
      <c r="J84" s="209"/>
      <c r="K84" s="209"/>
      <c r="L84" s="209"/>
      <c r="M84" s="209"/>
      <c r="N84" s="209"/>
      <c r="O84" s="10"/>
      <c r="P84" s="10"/>
      <c r="Q84" s="10"/>
      <c r="R84" s="10"/>
      <c r="S84" s="10"/>
      <c r="T84" s="10"/>
      <c r="U84" s="10"/>
      <c r="V84" s="10"/>
      <c r="W84" s="10"/>
      <c r="X84" s="81">
        <v>178.86</v>
      </c>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c r="BA84" s="10"/>
      <c r="BB84" s="10"/>
      <c r="BC84" s="10"/>
      <c r="BN84" s="62">
        <f t="shared" si="15"/>
        <v>124.2</v>
      </c>
      <c r="BO84" s="62"/>
      <c r="BP84" s="63">
        <f t="shared" si="16"/>
        <v>125</v>
      </c>
    </row>
    <row r="85" spans="2:68" s="9" customFormat="1" x14ac:dyDescent="0.2">
      <c r="B85" s="10"/>
      <c r="C85" s="15" t="b">
        <v>0</v>
      </c>
      <c r="D85" s="17" t="s">
        <v>80</v>
      </c>
      <c r="E85" s="17"/>
      <c r="F85" s="18"/>
      <c r="G85" s="108">
        <f>IF(AND(Q9&gt;3,C85=TRUE),$M$11,0)</f>
        <v>0</v>
      </c>
      <c r="H85" s="67">
        <v>30</v>
      </c>
      <c r="I85" s="67">
        <f t="shared" si="14"/>
        <v>0</v>
      </c>
      <c r="J85" s="209"/>
      <c r="K85" s="209"/>
      <c r="L85" s="209"/>
      <c r="M85" s="209"/>
      <c r="N85" s="209"/>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N85" s="62">
        <f t="shared" si="15"/>
        <v>32.400000000000006</v>
      </c>
      <c r="BO85" s="62"/>
      <c r="BP85" s="63">
        <f t="shared" si="16"/>
        <v>35</v>
      </c>
    </row>
    <row r="86" spans="2:68" s="9" customFormat="1" ht="12.75" customHeight="1" x14ac:dyDescent="0.2">
      <c r="B86" s="10"/>
      <c r="C86" s="15" t="b">
        <v>0</v>
      </c>
      <c r="D86" s="17" t="s">
        <v>299</v>
      </c>
      <c r="E86" s="17"/>
      <c r="F86" s="17"/>
      <c r="G86" s="70">
        <f>IF(AND(Q9&gt;3,C86=TRUE),$M$11,0)</f>
        <v>0</v>
      </c>
      <c r="H86" s="67">
        <v>75</v>
      </c>
      <c r="I86" s="67">
        <f t="shared" si="14"/>
        <v>0</v>
      </c>
      <c r="J86" s="209"/>
      <c r="K86" s="209"/>
      <c r="L86" s="209"/>
      <c r="M86" s="209"/>
      <c r="N86" s="209"/>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N86" s="62">
        <f t="shared" si="15"/>
        <v>81</v>
      </c>
      <c r="BO86" s="62"/>
      <c r="BP86" s="63">
        <f t="shared" si="16"/>
        <v>85</v>
      </c>
    </row>
    <row r="87" spans="2:68" s="9" customFormat="1" x14ac:dyDescent="0.2">
      <c r="B87" s="10"/>
      <c r="C87" s="15" t="b">
        <v>0</v>
      </c>
      <c r="D87" s="17" t="s">
        <v>292</v>
      </c>
      <c r="E87" s="17"/>
      <c r="F87" s="18" t="str">
        <f>IF(AND($Q$9=2,$Q$7=5),T8,"")</f>
        <v/>
      </c>
      <c r="G87" s="108">
        <f>IF(AND(Q9=2,Q7=5,C87=TRUE),$M$11,0)</f>
        <v>0</v>
      </c>
      <c r="H87" s="67">
        <v>265</v>
      </c>
      <c r="I87" s="67">
        <f t="shared" si="14"/>
        <v>0</v>
      </c>
      <c r="J87" s="209"/>
      <c r="K87" s="209"/>
      <c r="L87" s="209"/>
      <c r="M87" s="209"/>
      <c r="N87" s="209"/>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10"/>
      <c r="BA87" s="10"/>
      <c r="BB87" s="10"/>
      <c r="BC87" s="10"/>
      <c r="BN87" s="62">
        <f t="shared" si="15"/>
        <v>286.20000000000005</v>
      </c>
      <c r="BO87" s="62"/>
      <c r="BP87" s="63">
        <f t="shared" si="16"/>
        <v>290</v>
      </c>
    </row>
    <row r="88" spans="2:68" s="9" customFormat="1" x14ac:dyDescent="0.2">
      <c r="B88" s="10"/>
      <c r="C88" s="15" t="b">
        <v>0</v>
      </c>
      <c r="D88" s="17" t="s">
        <v>297</v>
      </c>
      <c r="E88" s="17"/>
      <c r="F88" s="18" t="str">
        <f>IF(AND(C88=TRUE,Q9=1),Q10,"")</f>
        <v/>
      </c>
      <c r="G88" s="108">
        <f>IF(AND(Q9=1,C88=TRUE),$M$11,0)</f>
        <v>0</v>
      </c>
      <c r="H88" s="67">
        <v>145</v>
      </c>
      <c r="I88" s="67">
        <f t="shared" si="14"/>
        <v>0</v>
      </c>
      <c r="J88" s="209"/>
      <c r="K88" s="209"/>
      <c r="L88" s="209"/>
      <c r="M88" s="209"/>
      <c r="N88" s="209"/>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c r="AR88" s="10"/>
      <c r="AS88" s="10"/>
      <c r="AT88" s="10"/>
      <c r="AU88" s="10"/>
      <c r="AV88" s="10"/>
      <c r="AW88" s="10"/>
      <c r="AX88" s="10"/>
      <c r="AY88" s="10"/>
      <c r="AZ88" s="10"/>
      <c r="BA88" s="10"/>
      <c r="BB88" s="10"/>
      <c r="BC88" s="10"/>
      <c r="BN88" s="62">
        <f t="shared" si="15"/>
        <v>156.60000000000002</v>
      </c>
      <c r="BO88" s="62"/>
      <c r="BP88" s="63">
        <f t="shared" si="16"/>
        <v>160</v>
      </c>
    </row>
    <row r="89" spans="2:68" s="9" customFormat="1" x14ac:dyDescent="0.2">
      <c r="B89" s="10"/>
      <c r="C89" s="15" t="b">
        <v>1</v>
      </c>
      <c r="D89" s="17" t="s">
        <v>69</v>
      </c>
      <c r="E89" s="17"/>
      <c r="F89" s="18"/>
      <c r="G89" s="108">
        <f>SUM(G82:G85)+SUM(G87:G88)</f>
        <v>0</v>
      </c>
      <c r="H89" s="67">
        <v>5</v>
      </c>
      <c r="I89" s="67">
        <f t="shared" si="14"/>
        <v>0</v>
      </c>
      <c r="J89" s="209"/>
      <c r="K89" s="209"/>
      <c r="L89" s="209"/>
      <c r="M89" s="209"/>
      <c r="N89" s="209"/>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c r="AR89" s="10"/>
      <c r="AS89" s="10"/>
      <c r="AT89" s="10"/>
      <c r="AU89" s="10"/>
      <c r="AV89" s="10"/>
      <c r="AW89" s="10"/>
      <c r="AX89" s="10"/>
      <c r="AY89" s="10"/>
      <c r="AZ89" s="10"/>
      <c r="BA89" s="10"/>
      <c r="BB89" s="10"/>
      <c r="BC89" s="10"/>
      <c r="BN89" s="62">
        <f t="shared" si="15"/>
        <v>5.4</v>
      </c>
      <c r="BO89" s="62"/>
      <c r="BP89" s="63">
        <v>4</v>
      </c>
    </row>
    <row r="90" spans="2:68" s="9" customFormat="1" x14ac:dyDescent="0.2">
      <c r="B90" s="10"/>
      <c r="C90" s="15" t="b">
        <v>1</v>
      </c>
      <c r="D90" s="17" t="s">
        <v>63</v>
      </c>
      <c r="E90" s="17"/>
      <c r="F90" s="18"/>
      <c r="G90" s="108">
        <f>SUM(G82:G85)+SUM(G87:G88)</f>
        <v>0</v>
      </c>
      <c r="H90" s="67">
        <v>10</v>
      </c>
      <c r="I90" s="67">
        <f t="shared" si="14"/>
        <v>0</v>
      </c>
      <c r="J90" s="209"/>
      <c r="K90" s="209"/>
      <c r="L90" s="209"/>
      <c r="M90" s="209"/>
      <c r="N90" s="209"/>
      <c r="O90" s="10"/>
      <c r="P90" s="185" t="s">
        <v>203</v>
      </c>
      <c r="Q90" s="80" t="s">
        <v>202</v>
      </c>
      <c r="R90" s="8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0"/>
      <c r="AY90" s="10"/>
      <c r="AZ90" s="10"/>
      <c r="BA90" s="10"/>
      <c r="BB90" s="10"/>
      <c r="BC90" s="10"/>
      <c r="BN90" s="62">
        <f t="shared" si="15"/>
        <v>10.8</v>
      </c>
      <c r="BO90" s="62"/>
      <c r="BP90" s="63">
        <f>CEILING(BN90, 5)</f>
        <v>15</v>
      </c>
    </row>
    <row r="91" spans="2:68" s="9" customFormat="1" ht="7.5" customHeight="1" x14ac:dyDescent="0.2">
      <c r="B91" s="219"/>
      <c r="C91" s="220"/>
      <c r="D91" s="220"/>
      <c r="E91" s="220"/>
      <c r="F91" s="220"/>
      <c r="G91" s="220"/>
      <c r="H91" s="220"/>
      <c r="I91" s="220"/>
      <c r="J91" s="220"/>
      <c r="K91" s="220"/>
      <c r="L91" s="220"/>
      <c r="M91" s="220"/>
      <c r="N91" s="220"/>
      <c r="O91" s="10"/>
      <c r="P91" s="185"/>
      <c r="Q91" s="110">
        <v>7.69</v>
      </c>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N91" s="62"/>
      <c r="BO91" s="62"/>
      <c r="BP91" s="63"/>
    </row>
    <row r="92" spans="2:68" x14ac:dyDescent="0.2">
      <c r="B92" s="20" t="s">
        <v>302</v>
      </c>
      <c r="C92" s="23"/>
      <c r="D92" s="24"/>
      <c r="E92" s="24"/>
      <c r="F92" s="23"/>
      <c r="G92" s="51" t="s">
        <v>64</v>
      </c>
      <c r="H92" s="51" t="s">
        <v>47</v>
      </c>
      <c r="I92" s="51" t="s">
        <v>287</v>
      </c>
      <c r="J92" s="51"/>
      <c r="K92" s="72"/>
      <c r="L92" s="72"/>
      <c r="M92" s="53" t="s">
        <v>252</v>
      </c>
      <c r="N92" s="68">
        <f>SUM(I93:I107)</f>
        <v>0</v>
      </c>
      <c r="P92" s="1">
        <v>0</v>
      </c>
    </row>
    <row r="93" spans="2:68" s="9" customFormat="1" ht="13.5" customHeight="1" x14ac:dyDescent="0.2">
      <c r="B93" s="10"/>
      <c r="C93" s="15" t="b">
        <v>0</v>
      </c>
      <c r="D93" s="10" t="s">
        <v>82</v>
      </c>
      <c r="E93" s="10"/>
      <c r="F93" s="16"/>
      <c r="G93" s="76">
        <v>1</v>
      </c>
      <c r="H93" s="66">
        <v>95</v>
      </c>
      <c r="I93" s="66">
        <f>IF(AND($I$7&gt;0,$I$7&lt;25,C93=TRUE),G93*H93,0)</f>
        <v>0</v>
      </c>
      <c r="J93" s="208" t="s">
        <v>311</v>
      </c>
      <c r="K93" s="208"/>
      <c r="L93" s="208"/>
      <c r="M93" s="208"/>
      <c r="N93" s="208"/>
      <c r="O93" s="10"/>
      <c r="P93" s="10">
        <v>0</v>
      </c>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0"/>
      <c r="AZ93" s="10"/>
      <c r="BA93" s="10"/>
      <c r="BB93" s="10"/>
      <c r="BC93" s="10"/>
      <c r="BN93" s="62">
        <f t="shared" ref="BN93" si="17">H93*1.08</f>
        <v>102.60000000000001</v>
      </c>
      <c r="BO93" s="62"/>
      <c r="BP93" s="63">
        <f t="shared" ref="BP93:BP107" si="18">CEILING(BN93, 5)</f>
        <v>105</v>
      </c>
    </row>
    <row r="94" spans="2:68" s="9" customFormat="1" x14ac:dyDescent="0.2">
      <c r="B94" s="10"/>
      <c r="C94" s="15" t="b">
        <v>0</v>
      </c>
      <c r="D94" s="17" t="s">
        <v>83</v>
      </c>
      <c r="E94" s="17"/>
      <c r="F94" s="18"/>
      <c r="G94" s="77">
        <v>1</v>
      </c>
      <c r="H94" s="67">
        <v>140</v>
      </c>
      <c r="I94" s="67">
        <f>IF(AND($I$7&gt;24,$I$7&lt;31,C94=TRUE),G94*H94,0)</f>
        <v>0</v>
      </c>
      <c r="J94" s="209"/>
      <c r="K94" s="209"/>
      <c r="L94" s="209"/>
      <c r="M94" s="209"/>
      <c r="N94" s="209"/>
      <c r="O94" s="10"/>
      <c r="P94" s="10">
        <v>0</v>
      </c>
      <c r="Q94" s="10"/>
      <c r="R94" s="10"/>
      <c r="S94" s="10"/>
      <c r="T94" s="10"/>
      <c r="U94" s="8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N94" s="62">
        <f t="shared" ref="BN94:BN107" si="19">H94*1.08</f>
        <v>151.20000000000002</v>
      </c>
      <c r="BO94" s="62"/>
      <c r="BP94" s="63">
        <f t="shared" si="18"/>
        <v>155</v>
      </c>
    </row>
    <row r="95" spans="2:68" s="9" customFormat="1" x14ac:dyDescent="0.2">
      <c r="B95" s="10"/>
      <c r="C95" s="15" t="b">
        <v>0</v>
      </c>
      <c r="D95" s="17" t="s">
        <v>84</v>
      </c>
      <c r="E95" s="17"/>
      <c r="F95" s="18"/>
      <c r="G95" s="77">
        <v>1</v>
      </c>
      <c r="H95" s="67">
        <v>170</v>
      </c>
      <c r="I95" s="67">
        <f>IF(AND($I$7&gt;30,$I$7&lt;40,C95=TRUE),G95*H95,0)</f>
        <v>0</v>
      </c>
      <c r="J95" s="209"/>
      <c r="K95" s="209"/>
      <c r="L95" s="209"/>
      <c r="M95" s="209"/>
      <c r="N95" s="209"/>
      <c r="O95" s="10"/>
      <c r="P95" s="10">
        <v>0</v>
      </c>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N95" s="62">
        <f t="shared" si="19"/>
        <v>183.60000000000002</v>
      </c>
      <c r="BO95" s="62"/>
      <c r="BP95" s="63">
        <f t="shared" si="18"/>
        <v>185</v>
      </c>
    </row>
    <row r="96" spans="2:68" s="9" customFormat="1" x14ac:dyDescent="0.2">
      <c r="B96" s="10"/>
      <c r="C96" s="15" t="b">
        <v>0</v>
      </c>
      <c r="D96" s="17" t="s">
        <v>81</v>
      </c>
      <c r="E96" s="17"/>
      <c r="F96" s="18"/>
      <c r="G96" s="77">
        <v>1</v>
      </c>
      <c r="H96" s="67">
        <v>195</v>
      </c>
      <c r="I96" s="67">
        <f>IF(AND($I$7&gt;39,C96=TRUE),G96*H96,0)</f>
        <v>0</v>
      </c>
      <c r="J96" s="209"/>
      <c r="K96" s="209"/>
      <c r="L96" s="209"/>
      <c r="M96" s="209"/>
      <c r="N96" s="209"/>
      <c r="O96" s="10"/>
      <c r="P96" s="10">
        <v>0</v>
      </c>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N96" s="62">
        <f t="shared" si="19"/>
        <v>210.60000000000002</v>
      </c>
      <c r="BO96" s="62"/>
      <c r="BP96" s="63">
        <f t="shared" si="18"/>
        <v>215</v>
      </c>
    </row>
    <row r="97" spans="2:68" s="9" customFormat="1" x14ac:dyDescent="0.2">
      <c r="B97" s="10"/>
      <c r="C97" s="15" t="b">
        <v>0</v>
      </c>
      <c r="D97" s="17" t="s">
        <v>85</v>
      </c>
      <c r="E97" s="17"/>
      <c r="F97" s="18"/>
      <c r="G97" s="111">
        <v>1</v>
      </c>
      <c r="H97" s="67">
        <v>65</v>
      </c>
      <c r="I97" s="67">
        <f>IF(C97=TRUE,G97*H97,0)</f>
        <v>0</v>
      </c>
      <c r="J97" s="209"/>
      <c r="K97" s="209"/>
      <c r="L97" s="209"/>
      <c r="M97" s="209"/>
      <c r="N97" s="209"/>
      <c r="O97" s="10"/>
      <c r="P97" s="10">
        <v>0</v>
      </c>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N97" s="62">
        <f t="shared" si="19"/>
        <v>70.2</v>
      </c>
      <c r="BO97" s="62"/>
      <c r="BP97" s="63">
        <f t="shared" si="18"/>
        <v>75</v>
      </c>
    </row>
    <row r="98" spans="2:68" s="9" customFormat="1" x14ac:dyDescent="0.2">
      <c r="B98" s="10"/>
      <c r="C98" s="15" t="b">
        <v>0</v>
      </c>
      <c r="D98" s="17" t="s">
        <v>86</v>
      </c>
      <c r="E98" s="17"/>
      <c r="F98" s="18"/>
      <c r="G98" s="111">
        <v>1</v>
      </c>
      <c r="H98" s="67">
        <v>35</v>
      </c>
      <c r="I98" s="67">
        <f t="shared" ref="I98:I105" si="20">IF(C98=TRUE,G98*H98,0)</f>
        <v>0</v>
      </c>
      <c r="J98" s="209"/>
      <c r="K98" s="209"/>
      <c r="L98" s="209"/>
      <c r="M98" s="209"/>
      <c r="N98" s="209"/>
      <c r="O98" s="10"/>
      <c r="P98" s="10">
        <v>1</v>
      </c>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N98" s="62">
        <f t="shared" si="19"/>
        <v>37.800000000000004</v>
      </c>
      <c r="BO98" s="62"/>
      <c r="BP98" s="63">
        <f t="shared" si="18"/>
        <v>40</v>
      </c>
    </row>
    <row r="99" spans="2:68" s="9" customFormat="1" x14ac:dyDescent="0.2">
      <c r="B99" s="10"/>
      <c r="C99" s="15" t="b">
        <v>0</v>
      </c>
      <c r="D99" s="17" t="s">
        <v>87</v>
      </c>
      <c r="E99" s="17"/>
      <c r="F99" s="18"/>
      <c r="G99" s="111">
        <v>1</v>
      </c>
      <c r="H99" s="67">
        <v>65</v>
      </c>
      <c r="I99" s="67">
        <f t="shared" si="20"/>
        <v>0</v>
      </c>
      <c r="J99" s="218" t="s">
        <v>317</v>
      </c>
      <c r="K99" s="218"/>
      <c r="L99" s="218"/>
      <c r="M99" s="218"/>
      <c r="N99" s="218"/>
      <c r="O99" s="10"/>
      <c r="P99" s="10">
        <v>1</v>
      </c>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N99" s="62">
        <f t="shared" si="19"/>
        <v>70.2</v>
      </c>
      <c r="BO99" s="62"/>
      <c r="BP99" s="63">
        <f t="shared" si="18"/>
        <v>75</v>
      </c>
    </row>
    <row r="100" spans="2:68" s="9" customFormat="1" ht="12.75" customHeight="1" x14ac:dyDescent="0.2">
      <c r="B100" s="10"/>
      <c r="C100" s="15" t="b">
        <v>0</v>
      </c>
      <c r="D100" s="17" t="s">
        <v>88</v>
      </c>
      <c r="E100" s="17"/>
      <c r="F100" s="18"/>
      <c r="G100" s="111">
        <v>1</v>
      </c>
      <c r="H100" s="67">
        <v>50</v>
      </c>
      <c r="I100" s="67">
        <f t="shared" si="20"/>
        <v>0</v>
      </c>
      <c r="J100" s="218"/>
      <c r="K100" s="218"/>
      <c r="L100" s="218"/>
      <c r="M100" s="218"/>
      <c r="N100" s="218"/>
      <c r="O100" s="10"/>
      <c r="P100" s="10">
        <v>0</v>
      </c>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N100" s="62">
        <f t="shared" si="19"/>
        <v>54</v>
      </c>
      <c r="BO100" s="62"/>
      <c r="BP100" s="63">
        <f t="shared" si="18"/>
        <v>55</v>
      </c>
    </row>
    <row r="101" spans="2:68" s="9" customFormat="1" x14ac:dyDescent="0.2">
      <c r="B101" s="10"/>
      <c r="C101" s="15" t="b">
        <v>0</v>
      </c>
      <c r="D101" s="17" t="s">
        <v>89</v>
      </c>
      <c r="E101" s="17"/>
      <c r="F101" s="18"/>
      <c r="G101" s="111">
        <v>1</v>
      </c>
      <c r="H101" s="67">
        <v>145</v>
      </c>
      <c r="I101" s="67">
        <f t="shared" si="20"/>
        <v>0</v>
      </c>
      <c r="J101" s="218"/>
      <c r="K101" s="218"/>
      <c r="L101" s="218"/>
      <c r="M101" s="218"/>
      <c r="N101" s="218"/>
      <c r="O101" s="10"/>
      <c r="P101" s="10">
        <v>0</v>
      </c>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N101" s="62">
        <f t="shared" si="19"/>
        <v>156.60000000000002</v>
      </c>
      <c r="BO101" s="62"/>
      <c r="BP101" s="63">
        <f t="shared" si="18"/>
        <v>160</v>
      </c>
    </row>
    <row r="102" spans="2:68" s="9" customFormat="1" ht="12.75" customHeight="1" x14ac:dyDescent="0.2">
      <c r="B102" s="10"/>
      <c r="C102" s="15" t="b">
        <v>0</v>
      </c>
      <c r="D102" s="17" t="s">
        <v>90</v>
      </c>
      <c r="E102" s="17"/>
      <c r="F102" s="18"/>
      <c r="G102" s="111">
        <v>1</v>
      </c>
      <c r="H102" s="67">
        <v>85</v>
      </c>
      <c r="I102" s="67">
        <f t="shared" si="20"/>
        <v>0</v>
      </c>
      <c r="J102" s="218"/>
      <c r="K102" s="218"/>
      <c r="L102" s="218"/>
      <c r="M102" s="218"/>
      <c r="N102" s="218"/>
      <c r="O102" s="10"/>
      <c r="P102" s="10">
        <v>0</v>
      </c>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c r="BC102" s="10"/>
      <c r="BN102" s="62">
        <f t="shared" si="19"/>
        <v>91.800000000000011</v>
      </c>
      <c r="BO102" s="62"/>
      <c r="BP102" s="63">
        <f t="shared" si="18"/>
        <v>95</v>
      </c>
    </row>
    <row r="103" spans="2:68" s="9" customFormat="1" x14ac:dyDescent="0.2">
      <c r="B103" s="10"/>
      <c r="C103" s="15" t="b">
        <v>0</v>
      </c>
      <c r="D103" s="17" t="s">
        <v>91</v>
      </c>
      <c r="E103" s="17"/>
      <c r="F103" s="18"/>
      <c r="G103" s="111">
        <v>1</v>
      </c>
      <c r="H103" s="67">
        <v>65</v>
      </c>
      <c r="I103" s="67">
        <f t="shared" si="20"/>
        <v>0</v>
      </c>
      <c r="J103" s="112"/>
      <c r="K103" s="10"/>
      <c r="L103" s="113"/>
      <c r="M103" s="113" t="s">
        <v>251</v>
      </c>
      <c r="N103" s="66">
        <f>N17+N26+N31+N37+N45+N58+N66+N70+N81+N92</f>
        <v>0</v>
      </c>
      <c r="O103" s="10"/>
      <c r="P103" s="10">
        <v>1</v>
      </c>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N103" s="62">
        <f t="shared" si="19"/>
        <v>70.2</v>
      </c>
      <c r="BO103" s="62"/>
      <c r="BP103" s="63">
        <f t="shared" si="18"/>
        <v>75</v>
      </c>
    </row>
    <row r="104" spans="2:68" s="9" customFormat="1" x14ac:dyDescent="0.2">
      <c r="B104" s="10"/>
      <c r="C104" s="15" t="b">
        <v>0</v>
      </c>
      <c r="D104" s="17" t="s">
        <v>310</v>
      </c>
      <c r="E104" s="17"/>
      <c r="F104" s="18"/>
      <c r="G104" s="111">
        <v>1</v>
      </c>
      <c r="H104" s="67">
        <v>65</v>
      </c>
      <c r="I104" s="67">
        <f t="shared" si="20"/>
        <v>0</v>
      </c>
      <c r="J104" s="114"/>
      <c r="K104" s="236" t="s">
        <v>254</v>
      </c>
      <c r="L104" s="236"/>
      <c r="M104" s="236"/>
      <c r="N104" s="115">
        <v>0</v>
      </c>
      <c r="O104" s="10"/>
      <c r="P104" s="10">
        <v>1</v>
      </c>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N104" s="62">
        <f t="shared" si="19"/>
        <v>70.2</v>
      </c>
      <c r="BO104" s="62"/>
      <c r="BP104" s="63">
        <f t="shared" si="18"/>
        <v>75</v>
      </c>
    </row>
    <row r="105" spans="2:68" s="9" customFormat="1" x14ac:dyDescent="0.2">
      <c r="B105" s="10"/>
      <c r="C105" s="15" t="b">
        <v>0</v>
      </c>
      <c r="D105" s="17" t="s">
        <v>293</v>
      </c>
      <c r="E105" s="17"/>
      <c r="F105" s="18"/>
      <c r="G105" s="111">
        <v>1</v>
      </c>
      <c r="H105" s="67">
        <v>85</v>
      </c>
      <c r="I105" s="67">
        <f t="shared" si="20"/>
        <v>0</v>
      </c>
      <c r="J105" s="114"/>
      <c r="K105" s="237" t="s">
        <v>135</v>
      </c>
      <c r="L105" s="237"/>
      <c r="M105" s="237"/>
      <c r="N105" s="66">
        <f>N103+N104</f>
        <v>0</v>
      </c>
      <c r="O105" s="10"/>
      <c r="P105" s="10">
        <v>1</v>
      </c>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N105" s="62">
        <f t="shared" si="19"/>
        <v>91.800000000000011</v>
      </c>
      <c r="BO105" s="62"/>
      <c r="BP105" s="63">
        <f t="shared" si="18"/>
        <v>95</v>
      </c>
    </row>
    <row r="106" spans="2:68" s="9" customFormat="1" x14ac:dyDescent="0.2">
      <c r="B106" s="10"/>
      <c r="C106" s="15" t="b">
        <v>0</v>
      </c>
      <c r="D106" s="17" t="s">
        <v>373</v>
      </c>
      <c r="E106" s="17"/>
      <c r="F106" s="18"/>
      <c r="G106" s="111">
        <v>1</v>
      </c>
      <c r="H106" s="67">
        <v>105</v>
      </c>
      <c r="I106" s="67">
        <f t="shared" ref="I106" si="21">IF(C106=TRUE,G106*H106,0)</f>
        <v>0</v>
      </c>
      <c r="J106" s="116"/>
      <c r="K106" s="10"/>
      <c r="L106" s="113"/>
      <c r="M106" s="113" t="s">
        <v>255</v>
      </c>
      <c r="N106" s="66">
        <f>N105*0.13</f>
        <v>0</v>
      </c>
      <c r="O106" s="10"/>
      <c r="P106" s="10">
        <v>1</v>
      </c>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N106" s="62">
        <f t="shared" si="19"/>
        <v>113.4</v>
      </c>
      <c r="BO106" s="62"/>
      <c r="BP106" s="63">
        <f t="shared" si="18"/>
        <v>115</v>
      </c>
    </row>
    <row r="107" spans="2:68" s="9" customFormat="1" ht="13.5" thickBot="1" x14ac:dyDescent="0.25">
      <c r="B107" s="10"/>
      <c r="C107" s="15" t="b">
        <v>0</v>
      </c>
      <c r="D107" s="17" t="s">
        <v>374</v>
      </c>
      <c r="E107" s="17"/>
      <c r="F107" s="18"/>
      <c r="G107" s="111">
        <v>1</v>
      </c>
      <c r="H107" s="67">
        <v>35</v>
      </c>
      <c r="I107" s="67">
        <f t="shared" ref="I107" si="22">IF(C107=TRUE,G107*H107,0)</f>
        <v>0</v>
      </c>
      <c r="J107" s="116"/>
      <c r="K107" s="10"/>
      <c r="L107" s="113"/>
      <c r="M107" s="117" t="s">
        <v>333</v>
      </c>
      <c r="N107" s="118">
        <f>SUM(N105:N106)</f>
        <v>0</v>
      </c>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0"/>
      <c r="BN107" s="62">
        <f t="shared" si="19"/>
        <v>37.800000000000004</v>
      </c>
      <c r="BO107" s="62"/>
      <c r="BP107" s="63">
        <f t="shared" si="18"/>
        <v>40</v>
      </c>
    </row>
    <row r="108" spans="2:68" s="9" customFormat="1" ht="21" customHeight="1" x14ac:dyDescent="0.2">
      <c r="B108" s="235"/>
      <c r="C108" s="235"/>
      <c r="D108" s="235"/>
      <c r="E108" s="235"/>
      <c r="F108" s="235"/>
      <c r="G108" s="11"/>
      <c r="H108" s="207" t="s">
        <v>15</v>
      </c>
      <c r="I108" s="207"/>
      <c r="J108" s="207"/>
      <c r="K108" s="207"/>
      <c r="L108" s="10"/>
      <c r="M108" s="238"/>
      <c r="N108" s="238"/>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N108" s="62"/>
      <c r="BO108" s="62"/>
      <c r="BP108" s="63"/>
    </row>
    <row r="109" spans="2:68" s="9" customFormat="1" ht="14.25" customHeight="1" x14ac:dyDescent="0.2">
      <c r="B109" s="233" t="s">
        <v>12</v>
      </c>
      <c r="C109" s="233"/>
      <c r="D109" s="233"/>
      <c r="E109" s="233"/>
      <c r="F109" s="233"/>
      <c r="G109" s="12"/>
      <c r="H109" s="233" t="s">
        <v>13</v>
      </c>
      <c r="I109" s="233"/>
      <c r="J109" s="233"/>
      <c r="K109" s="233"/>
      <c r="L109" s="10"/>
      <c r="M109" s="233" t="s">
        <v>14</v>
      </c>
      <c r="N109" s="233"/>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c r="AR109" s="10"/>
      <c r="AS109" s="10"/>
      <c r="AT109" s="10"/>
      <c r="AU109" s="10"/>
      <c r="AV109" s="10"/>
      <c r="AW109" s="10"/>
      <c r="AX109" s="10"/>
      <c r="AY109" s="10"/>
      <c r="AZ109" s="10"/>
      <c r="BA109" s="10"/>
      <c r="BB109" s="10"/>
      <c r="BC109" s="10"/>
      <c r="BN109" s="62"/>
      <c r="BO109" s="62"/>
      <c r="BP109" s="63"/>
    </row>
    <row r="110" spans="2:68" s="9" customFormat="1" ht="6" customHeight="1" x14ac:dyDescent="0.2">
      <c r="B110" s="210" t="s">
        <v>314</v>
      </c>
      <c r="C110" s="210"/>
      <c r="D110" s="210"/>
      <c r="E110" s="210"/>
      <c r="F110" s="210"/>
      <c r="G110" s="210"/>
      <c r="H110" s="210"/>
      <c r="I110" s="210"/>
      <c r="J110" s="210"/>
      <c r="K110" s="210"/>
      <c r="L110" s="210"/>
      <c r="M110" s="210"/>
      <c r="N110" s="2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c r="AR110" s="10"/>
      <c r="AS110" s="10"/>
      <c r="AT110" s="10"/>
      <c r="AU110" s="10"/>
      <c r="AV110" s="10"/>
      <c r="AW110" s="10"/>
      <c r="AX110" s="10"/>
      <c r="AY110" s="10"/>
      <c r="AZ110" s="10"/>
      <c r="BA110" s="10"/>
      <c r="BB110" s="10"/>
      <c r="BC110" s="10"/>
      <c r="BN110" s="62"/>
      <c r="BO110" s="62"/>
      <c r="BP110" s="63"/>
    </row>
    <row r="111" spans="2:68" s="9" customFormat="1" ht="12" customHeight="1" x14ac:dyDescent="0.2">
      <c r="B111" s="210"/>
      <c r="C111" s="210"/>
      <c r="D111" s="210"/>
      <c r="E111" s="210"/>
      <c r="F111" s="210"/>
      <c r="G111" s="210"/>
      <c r="H111" s="210"/>
      <c r="I111" s="210"/>
      <c r="J111" s="210"/>
      <c r="K111" s="210"/>
      <c r="L111" s="210"/>
      <c r="M111" s="210"/>
      <c r="N111" s="2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0"/>
      <c r="BC111" s="10"/>
      <c r="BN111" s="62"/>
      <c r="BO111" s="62"/>
      <c r="BP111" s="63"/>
    </row>
    <row r="112" spans="2:68" s="9" customFormat="1" ht="26.25" customHeight="1" x14ac:dyDescent="0.2">
      <c r="B112" s="210"/>
      <c r="C112" s="210"/>
      <c r="D112" s="210"/>
      <c r="E112" s="210"/>
      <c r="F112" s="210"/>
      <c r="G112" s="210"/>
      <c r="H112" s="210"/>
      <c r="I112" s="210"/>
      <c r="J112" s="210"/>
      <c r="K112" s="210"/>
      <c r="L112" s="210"/>
      <c r="M112" s="210"/>
      <c r="N112" s="2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c r="AR112" s="10"/>
      <c r="AS112" s="10"/>
      <c r="AT112" s="10"/>
      <c r="AU112" s="10"/>
      <c r="AV112" s="10"/>
      <c r="AW112" s="10"/>
      <c r="AX112" s="10"/>
      <c r="AY112" s="10"/>
      <c r="AZ112" s="10"/>
      <c r="BA112" s="10"/>
      <c r="BB112" s="10"/>
      <c r="BC112" s="10"/>
      <c r="BN112" s="62"/>
      <c r="BO112" s="62"/>
      <c r="BP112" s="63"/>
    </row>
    <row r="113" spans="2:68" s="9" customFormat="1" ht="6.75" customHeight="1" x14ac:dyDescent="0.2">
      <c r="B113" s="119"/>
      <c r="C113" s="119"/>
      <c r="D113" s="119"/>
      <c r="E113" s="119"/>
      <c r="F113" s="119"/>
      <c r="G113" s="119"/>
      <c r="H113" s="119"/>
      <c r="I113" s="119"/>
      <c r="J113" s="119"/>
      <c r="K113" s="119"/>
      <c r="L113" s="119"/>
      <c r="M113" s="119"/>
      <c r="N113" s="119"/>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c r="AR113" s="10"/>
      <c r="AS113" s="10"/>
      <c r="AT113" s="10"/>
      <c r="AU113" s="10"/>
      <c r="AV113" s="10"/>
      <c r="AW113" s="10"/>
      <c r="AX113" s="10"/>
      <c r="AY113" s="10"/>
      <c r="AZ113" s="10"/>
      <c r="BA113" s="10"/>
      <c r="BB113" s="10"/>
      <c r="BC113" s="10"/>
      <c r="BN113" s="62"/>
      <c r="BO113" s="62"/>
      <c r="BP113" s="63"/>
    </row>
    <row r="114" spans="2:68" s="9" customFormat="1" ht="23.25" customHeight="1" x14ac:dyDescent="0.2">
      <c r="B114" s="119"/>
      <c r="C114" s="119"/>
      <c r="D114" s="119"/>
      <c r="E114" s="119"/>
      <c r="F114" s="119"/>
      <c r="G114" s="119"/>
      <c r="H114" s="119"/>
      <c r="I114" s="119"/>
      <c r="J114" s="119"/>
      <c r="K114" s="119"/>
      <c r="L114" s="119"/>
      <c r="M114" s="119"/>
      <c r="N114" s="119"/>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c r="AR114" s="10"/>
      <c r="AS114" s="10"/>
      <c r="AT114" s="10"/>
      <c r="AU114" s="10"/>
      <c r="AV114" s="10"/>
      <c r="AW114" s="10"/>
      <c r="AX114" s="10"/>
      <c r="AY114" s="10"/>
      <c r="AZ114" s="10"/>
      <c r="BA114" s="10"/>
      <c r="BB114" s="10"/>
      <c r="BC114" s="10"/>
      <c r="BN114" s="62"/>
      <c r="BO114" s="62"/>
      <c r="BP114" s="63"/>
    </row>
    <row r="115" spans="2:68" s="9" customFormat="1" ht="15" x14ac:dyDescent="0.2">
      <c r="B115" s="161" t="s">
        <v>6</v>
      </c>
      <c r="C115" s="161"/>
      <c r="D115" s="161"/>
      <c r="E115" s="161"/>
      <c r="F115" s="161"/>
      <c r="G115" s="161"/>
      <c r="H115" s="161"/>
      <c r="I115" s="161"/>
      <c r="J115" s="161"/>
      <c r="K115" s="161"/>
      <c r="L115" s="161"/>
      <c r="M115" s="161"/>
      <c r="N115" s="161"/>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c r="AR115" s="10"/>
      <c r="AS115" s="10"/>
      <c r="AT115" s="10"/>
      <c r="AU115" s="10"/>
      <c r="AV115" s="10"/>
      <c r="AW115" s="10"/>
      <c r="AX115" s="10"/>
      <c r="AY115" s="10"/>
      <c r="AZ115" s="10"/>
      <c r="BA115" s="10"/>
      <c r="BB115" s="10"/>
      <c r="BC115" s="10"/>
      <c r="BN115" s="62"/>
      <c r="BO115" s="62"/>
      <c r="BP115" s="63"/>
    </row>
    <row r="116" spans="2:68" s="9" customFormat="1" ht="4.5" customHeight="1" x14ac:dyDescent="0.2">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c r="AR116" s="10"/>
      <c r="AS116" s="10"/>
      <c r="AT116" s="10"/>
      <c r="AU116" s="10"/>
      <c r="AV116" s="10"/>
      <c r="AW116" s="10"/>
      <c r="AX116" s="10"/>
      <c r="AY116" s="10"/>
      <c r="AZ116" s="10"/>
      <c r="BA116" s="10"/>
      <c r="BB116" s="10"/>
      <c r="BC116" s="10"/>
      <c r="BN116" s="62"/>
      <c r="BO116" s="62"/>
      <c r="BP116" s="63"/>
    </row>
    <row r="117" spans="2:68" s="9" customFormat="1" ht="15" customHeight="1" x14ac:dyDescent="0.2">
      <c r="B117" s="234" t="s">
        <v>264</v>
      </c>
      <c r="C117" s="234"/>
      <c r="D117" s="234"/>
      <c r="E117" s="234"/>
      <c r="F117" s="234"/>
      <c r="G117" s="234"/>
      <c r="H117" s="234"/>
      <c r="I117" s="234"/>
      <c r="J117" s="234"/>
      <c r="K117" s="234"/>
      <c r="L117" s="234"/>
      <c r="M117" s="234"/>
      <c r="N117" s="234"/>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0"/>
      <c r="BN117" s="62"/>
      <c r="BO117" s="62"/>
      <c r="BP117" s="63"/>
    </row>
    <row r="118" spans="2:68" s="9" customFormat="1" ht="24" customHeight="1" x14ac:dyDescent="0.2">
      <c r="B118" s="160" t="s">
        <v>265</v>
      </c>
      <c r="C118" s="160"/>
      <c r="D118" s="160"/>
      <c r="E118" s="160"/>
      <c r="F118" s="160"/>
      <c r="G118" s="160"/>
      <c r="H118" s="160"/>
      <c r="I118" s="160"/>
      <c r="J118" s="160"/>
      <c r="K118" s="160"/>
      <c r="L118" s="160"/>
      <c r="M118" s="160"/>
      <c r="N118" s="16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c r="AR118" s="10"/>
      <c r="AS118" s="10"/>
      <c r="AT118" s="10"/>
      <c r="AU118" s="10"/>
      <c r="AV118" s="10"/>
      <c r="AW118" s="10"/>
      <c r="AX118" s="10"/>
      <c r="AY118" s="10"/>
      <c r="AZ118" s="10"/>
      <c r="BA118" s="10"/>
      <c r="BB118" s="10"/>
      <c r="BC118" s="10"/>
      <c r="BN118" s="62"/>
      <c r="BO118" s="62"/>
      <c r="BP118" s="63"/>
    </row>
    <row r="119" spans="2:68" s="9" customFormat="1" ht="36" customHeight="1" x14ac:dyDescent="0.2">
      <c r="B119" s="160" t="s">
        <v>266</v>
      </c>
      <c r="C119" s="160"/>
      <c r="D119" s="160"/>
      <c r="E119" s="160"/>
      <c r="F119" s="160"/>
      <c r="G119" s="160"/>
      <c r="H119" s="160"/>
      <c r="I119" s="160"/>
      <c r="J119" s="160"/>
      <c r="K119" s="160"/>
      <c r="L119" s="160"/>
      <c r="M119" s="160"/>
      <c r="N119" s="16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0"/>
      <c r="AZ119" s="10"/>
      <c r="BA119" s="10"/>
      <c r="BB119" s="10"/>
      <c r="BC119" s="10"/>
      <c r="BN119" s="62"/>
      <c r="BO119" s="62"/>
      <c r="BP119" s="63"/>
    </row>
    <row r="120" spans="2:68" s="9" customFormat="1" ht="24.75" customHeight="1" x14ac:dyDescent="0.2">
      <c r="B120" s="160" t="s">
        <v>11</v>
      </c>
      <c r="C120" s="160"/>
      <c r="D120" s="160"/>
      <c r="E120" s="160"/>
      <c r="F120" s="160"/>
      <c r="G120" s="160"/>
      <c r="H120" s="160"/>
      <c r="I120" s="160"/>
      <c r="J120" s="160"/>
      <c r="K120" s="160"/>
      <c r="L120" s="160"/>
      <c r="M120" s="160"/>
      <c r="N120" s="16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N120" s="62"/>
      <c r="BO120" s="62"/>
      <c r="BP120" s="63"/>
    </row>
    <row r="121" spans="2:68" s="9" customFormat="1" ht="92.25" customHeight="1" x14ac:dyDescent="0.2">
      <c r="B121" s="160" t="s">
        <v>267</v>
      </c>
      <c r="C121" s="160"/>
      <c r="D121" s="160"/>
      <c r="E121" s="160"/>
      <c r="F121" s="160"/>
      <c r="G121" s="160"/>
      <c r="H121" s="160"/>
      <c r="I121" s="160"/>
      <c r="J121" s="160"/>
      <c r="K121" s="160"/>
      <c r="L121" s="160"/>
      <c r="M121" s="160"/>
      <c r="N121" s="16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N121" s="62"/>
      <c r="BO121" s="62"/>
      <c r="BP121" s="63"/>
    </row>
    <row r="122" spans="2:68" s="9" customFormat="1" ht="60.75" customHeight="1" x14ac:dyDescent="0.2">
      <c r="B122" s="160" t="s">
        <v>326</v>
      </c>
      <c r="C122" s="160"/>
      <c r="D122" s="160"/>
      <c r="E122" s="160"/>
      <c r="F122" s="160"/>
      <c r="G122" s="160"/>
      <c r="H122" s="160"/>
      <c r="I122" s="160"/>
      <c r="J122" s="160"/>
      <c r="K122" s="160"/>
      <c r="L122" s="160"/>
      <c r="M122" s="160"/>
      <c r="N122" s="16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c r="AZ122" s="10"/>
      <c r="BA122" s="10"/>
      <c r="BB122" s="10"/>
      <c r="BC122" s="10"/>
      <c r="BN122" s="62"/>
      <c r="BO122" s="62"/>
      <c r="BP122" s="63"/>
    </row>
    <row r="123" spans="2:68" s="9" customFormat="1" ht="38.25" customHeight="1" x14ac:dyDescent="0.2">
      <c r="B123" s="160" t="s">
        <v>268</v>
      </c>
      <c r="C123" s="160"/>
      <c r="D123" s="160"/>
      <c r="E123" s="160"/>
      <c r="F123" s="160"/>
      <c r="G123" s="160"/>
      <c r="H123" s="160"/>
      <c r="I123" s="160"/>
      <c r="J123" s="160"/>
      <c r="K123" s="160"/>
      <c r="L123" s="160"/>
      <c r="M123" s="160"/>
      <c r="N123" s="16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N123" s="62"/>
      <c r="BO123" s="62"/>
      <c r="BP123" s="63"/>
    </row>
    <row r="124" spans="2:68" s="9" customFormat="1" ht="27.75" customHeight="1" x14ac:dyDescent="0.2">
      <c r="B124" s="162" t="s">
        <v>269</v>
      </c>
      <c r="C124" s="162"/>
      <c r="D124" s="162"/>
      <c r="E124" s="162"/>
      <c r="F124" s="162"/>
      <c r="G124" s="162"/>
      <c r="H124" s="162"/>
      <c r="I124" s="162"/>
      <c r="J124" s="162"/>
      <c r="K124" s="162"/>
      <c r="L124" s="162"/>
      <c r="M124" s="162"/>
      <c r="N124" s="162"/>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c r="AZ124" s="10"/>
      <c r="BA124" s="10"/>
      <c r="BB124" s="10"/>
      <c r="BC124" s="10"/>
      <c r="BN124" s="62"/>
      <c r="BO124" s="62"/>
      <c r="BP124" s="63"/>
    </row>
    <row r="125" spans="2:68" s="9" customFormat="1" ht="48" customHeight="1" x14ac:dyDescent="0.2">
      <c r="B125" s="160" t="s">
        <v>327</v>
      </c>
      <c r="C125" s="160"/>
      <c r="D125" s="160"/>
      <c r="E125" s="160"/>
      <c r="F125" s="160"/>
      <c r="G125" s="160"/>
      <c r="H125" s="160"/>
      <c r="I125" s="160"/>
      <c r="J125" s="160"/>
      <c r="K125" s="160"/>
      <c r="L125" s="160"/>
      <c r="M125" s="160"/>
      <c r="N125" s="16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0"/>
      <c r="AZ125" s="10"/>
      <c r="BA125" s="10"/>
      <c r="BB125" s="10"/>
      <c r="BC125" s="10"/>
      <c r="BN125" s="62"/>
      <c r="BO125" s="62"/>
      <c r="BP125" s="63"/>
    </row>
    <row r="126" spans="2:68" s="9" customFormat="1" ht="25.5" customHeight="1" x14ac:dyDescent="0.2">
      <c r="B126" s="160" t="s">
        <v>270</v>
      </c>
      <c r="C126" s="160"/>
      <c r="D126" s="160"/>
      <c r="E126" s="160"/>
      <c r="F126" s="160"/>
      <c r="G126" s="160"/>
      <c r="H126" s="160"/>
      <c r="I126" s="160"/>
      <c r="J126" s="160"/>
      <c r="K126" s="160"/>
      <c r="L126" s="160"/>
      <c r="M126" s="160"/>
      <c r="N126" s="16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0"/>
      <c r="BN126" s="62"/>
      <c r="BO126" s="62"/>
      <c r="BP126" s="63"/>
    </row>
    <row r="127" spans="2:68" s="9" customFormat="1" ht="37.5" customHeight="1" x14ac:dyDescent="0.2">
      <c r="B127" s="160" t="s">
        <v>328</v>
      </c>
      <c r="C127" s="160"/>
      <c r="D127" s="160"/>
      <c r="E127" s="160"/>
      <c r="F127" s="160"/>
      <c r="G127" s="160"/>
      <c r="H127" s="160"/>
      <c r="I127" s="160"/>
      <c r="J127" s="160"/>
      <c r="K127" s="160"/>
      <c r="L127" s="160"/>
      <c r="M127" s="160"/>
      <c r="N127" s="16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0"/>
      <c r="AZ127" s="10"/>
      <c r="BA127" s="10"/>
      <c r="BB127" s="10"/>
      <c r="BC127" s="10"/>
      <c r="BN127" s="62"/>
      <c r="BO127" s="62"/>
      <c r="BP127" s="63"/>
    </row>
    <row r="128" spans="2:68" s="9" customFormat="1" ht="57.75" customHeight="1" x14ac:dyDescent="0.2">
      <c r="B128" s="160" t="s">
        <v>329</v>
      </c>
      <c r="C128" s="160"/>
      <c r="D128" s="160"/>
      <c r="E128" s="160"/>
      <c r="F128" s="160"/>
      <c r="G128" s="160"/>
      <c r="H128" s="160"/>
      <c r="I128" s="160"/>
      <c r="J128" s="160"/>
      <c r="K128" s="160"/>
      <c r="L128" s="160"/>
      <c r="M128" s="160"/>
      <c r="N128" s="16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N128" s="62"/>
      <c r="BO128" s="62"/>
      <c r="BP128" s="63"/>
    </row>
    <row r="129" spans="2:68" s="9" customFormat="1" ht="25.5" customHeight="1" x14ac:dyDescent="0.2">
      <c r="B129" s="160" t="s">
        <v>335</v>
      </c>
      <c r="C129" s="160"/>
      <c r="D129" s="160"/>
      <c r="E129" s="160"/>
      <c r="F129" s="160"/>
      <c r="G129" s="160"/>
      <c r="H129" s="160"/>
      <c r="I129" s="160"/>
      <c r="J129" s="160"/>
      <c r="K129" s="160"/>
      <c r="L129" s="160"/>
      <c r="M129" s="160"/>
      <c r="N129" s="16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N129" s="62"/>
      <c r="BO129" s="62"/>
      <c r="BP129" s="63"/>
    </row>
    <row r="130" spans="2:68" s="9" customFormat="1" ht="63" customHeight="1" x14ac:dyDescent="0.2">
      <c r="B130" s="160" t="s">
        <v>330</v>
      </c>
      <c r="C130" s="160"/>
      <c r="D130" s="160"/>
      <c r="E130" s="160"/>
      <c r="F130" s="160"/>
      <c r="G130" s="160"/>
      <c r="H130" s="160"/>
      <c r="I130" s="160"/>
      <c r="J130" s="160"/>
      <c r="K130" s="160"/>
      <c r="L130" s="160"/>
      <c r="M130" s="160"/>
      <c r="N130" s="16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N130" s="62"/>
      <c r="BO130" s="62"/>
      <c r="BP130" s="63"/>
    </row>
    <row r="131" spans="2:68" s="9" customFormat="1" ht="18.75" customHeight="1" x14ac:dyDescent="0.2">
      <c r="B131" s="160" t="s">
        <v>331</v>
      </c>
      <c r="C131" s="160"/>
      <c r="D131" s="160"/>
      <c r="E131" s="160"/>
      <c r="F131" s="160"/>
      <c r="G131" s="160"/>
      <c r="H131" s="160"/>
      <c r="I131" s="160"/>
      <c r="J131" s="160"/>
      <c r="K131" s="160"/>
      <c r="L131" s="160"/>
      <c r="M131" s="160"/>
      <c r="N131" s="16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N131" s="62"/>
      <c r="BO131" s="62"/>
      <c r="BP131" s="63"/>
    </row>
    <row r="132" spans="2:68" s="9" customFormat="1" ht="39" customHeight="1" x14ac:dyDescent="0.2">
      <c r="B132" s="160" t="s">
        <v>332</v>
      </c>
      <c r="C132" s="160"/>
      <c r="D132" s="160"/>
      <c r="E132" s="160"/>
      <c r="F132" s="160"/>
      <c r="G132" s="160"/>
      <c r="H132" s="160"/>
      <c r="I132" s="160"/>
      <c r="J132" s="160"/>
      <c r="K132" s="160"/>
      <c r="L132" s="160"/>
      <c r="M132" s="160"/>
      <c r="N132" s="16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0"/>
      <c r="AZ132" s="10"/>
      <c r="BA132" s="10"/>
      <c r="BB132" s="10"/>
      <c r="BC132" s="10"/>
      <c r="BN132" s="62"/>
      <c r="BO132" s="62"/>
      <c r="BP132" s="63"/>
    </row>
    <row r="133" spans="2:68" s="9" customFormat="1" ht="15" x14ac:dyDescent="0.2">
      <c r="B133" s="164" t="s">
        <v>2</v>
      </c>
      <c r="C133" s="164"/>
      <c r="D133" s="164"/>
      <c r="E133" s="164"/>
      <c r="F133" s="164"/>
      <c r="G133" s="164"/>
      <c r="H133" s="164"/>
      <c r="I133" s="164"/>
      <c r="J133" s="164"/>
      <c r="K133" s="164"/>
      <c r="L133" s="164"/>
      <c r="M133" s="164"/>
      <c r="N133" s="164"/>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0"/>
      <c r="AZ133" s="10"/>
      <c r="BA133" s="10"/>
      <c r="BB133" s="10"/>
      <c r="BC133" s="10"/>
      <c r="BN133" s="62"/>
      <c r="BO133" s="62"/>
      <c r="BP133" s="63"/>
    </row>
    <row r="134" spans="2:68" s="9" customFormat="1" ht="15.6" customHeight="1" x14ac:dyDescent="0.2">
      <c r="B134" s="120" t="s">
        <v>250</v>
      </c>
      <c r="C134" s="120"/>
      <c r="D134" s="121"/>
      <c r="E134" s="165">
        <f>E3</f>
        <v>0</v>
      </c>
      <c r="F134" s="165"/>
      <c r="G134" s="165"/>
      <c r="H134" s="165"/>
      <c r="I134" s="165"/>
      <c r="J134" s="120" t="s">
        <v>95</v>
      </c>
      <c r="K134" s="141">
        <f>E4</f>
        <v>0</v>
      </c>
      <c r="L134" s="141"/>
      <c r="M134" s="141"/>
      <c r="N134" s="141"/>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0"/>
      <c r="AZ134" s="10"/>
      <c r="BA134" s="10"/>
      <c r="BB134" s="10"/>
      <c r="BC134" s="10"/>
      <c r="BN134" s="62"/>
      <c r="BO134" s="62"/>
      <c r="BP134" s="63"/>
    </row>
    <row r="135" spans="2:68" s="9" customFormat="1" ht="15.6" customHeight="1" x14ac:dyDescent="0.2">
      <c r="B135" s="122" t="s">
        <v>98</v>
      </c>
      <c r="C135" s="122"/>
      <c r="D135" s="122"/>
      <c r="E135" s="163">
        <f>I3</f>
        <v>0</v>
      </c>
      <c r="F135" s="163"/>
      <c r="G135" s="163"/>
      <c r="H135" s="163"/>
      <c r="I135" s="163"/>
      <c r="J135" s="163"/>
      <c r="K135" s="163"/>
      <c r="L135" s="163"/>
      <c r="M135" s="163"/>
      <c r="N135" s="163"/>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0"/>
      <c r="AZ135" s="10"/>
      <c r="BA135" s="10"/>
      <c r="BB135" s="10"/>
      <c r="BC135" s="10"/>
      <c r="BN135" s="62"/>
      <c r="BO135" s="62"/>
      <c r="BP135" s="63"/>
    </row>
    <row r="136" spans="2:68" s="9" customFormat="1" ht="15.6" customHeight="1" x14ac:dyDescent="0.2">
      <c r="B136" s="123" t="s">
        <v>96</v>
      </c>
      <c r="C136" s="123"/>
      <c r="D136" s="122"/>
      <c r="E136" s="142"/>
      <c r="F136" s="142"/>
      <c r="G136" s="123" t="s">
        <v>97</v>
      </c>
      <c r="H136" s="143">
        <f>L4</f>
        <v>0</v>
      </c>
      <c r="I136" s="143"/>
      <c r="J136" s="123" t="s">
        <v>99</v>
      </c>
      <c r="K136" s="143">
        <f>I4</f>
        <v>0</v>
      </c>
      <c r="L136" s="143"/>
      <c r="M136" s="143"/>
      <c r="N136" s="143"/>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0"/>
      <c r="AZ136" s="10"/>
      <c r="BA136" s="10"/>
      <c r="BB136" s="10"/>
      <c r="BC136" s="10"/>
      <c r="BN136" s="62"/>
      <c r="BO136" s="62"/>
      <c r="BP136" s="63"/>
    </row>
    <row r="137" spans="2:68" s="9" customFormat="1" ht="15.6" customHeight="1" x14ac:dyDescent="0.2">
      <c r="B137" s="124" t="s">
        <v>7</v>
      </c>
      <c r="C137" s="124"/>
      <c r="D137" s="124"/>
      <c r="E137" s="143">
        <f>E7</f>
        <v>0</v>
      </c>
      <c r="F137" s="143"/>
      <c r="G137" s="124" t="s">
        <v>8</v>
      </c>
      <c r="H137" s="143">
        <f>E8</f>
        <v>0</v>
      </c>
      <c r="I137" s="143"/>
      <c r="J137" s="124" t="s">
        <v>102</v>
      </c>
      <c r="K137" s="143">
        <f>E9</f>
        <v>0</v>
      </c>
      <c r="L137" s="143"/>
      <c r="M137" s="143"/>
      <c r="N137" s="143"/>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0"/>
      <c r="AZ137" s="10"/>
      <c r="BA137" s="10"/>
      <c r="BB137" s="10"/>
      <c r="BC137" s="10"/>
      <c r="BN137" s="62"/>
      <c r="BO137" s="62"/>
      <c r="BP137" s="63"/>
    </row>
    <row r="138" spans="2:68" s="9" customFormat="1" ht="15.6" customHeight="1" x14ac:dyDescent="0.2">
      <c r="B138" s="125" t="s">
        <v>9</v>
      </c>
      <c r="C138" s="125"/>
      <c r="D138" s="125"/>
      <c r="E138" s="146">
        <f>E10</f>
        <v>0</v>
      </c>
      <c r="F138" s="146"/>
      <c r="G138" s="125" t="s">
        <v>10</v>
      </c>
      <c r="H138" s="146">
        <f>E11</f>
        <v>0</v>
      </c>
      <c r="I138" s="146"/>
      <c r="J138" s="125" t="s">
        <v>200</v>
      </c>
      <c r="K138" s="146">
        <f>E12</f>
        <v>0</v>
      </c>
      <c r="L138" s="146"/>
      <c r="M138" s="146"/>
      <c r="N138" s="146"/>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0"/>
      <c r="AZ138" s="10"/>
      <c r="BA138" s="10"/>
      <c r="BB138" s="10"/>
      <c r="BC138" s="10"/>
      <c r="BN138" s="62"/>
      <c r="BO138" s="62"/>
      <c r="BP138" s="63"/>
    </row>
    <row r="139" spans="2:68" s="9" customFormat="1" ht="15.6" customHeight="1" x14ac:dyDescent="0.2">
      <c r="B139" s="126" t="s">
        <v>336</v>
      </c>
      <c r="C139" s="126"/>
      <c r="D139" s="126"/>
      <c r="E139" s="232">
        <f>E13</f>
        <v>0</v>
      </c>
      <c r="F139" s="232"/>
      <c r="G139" s="126" t="s">
        <v>337</v>
      </c>
      <c r="H139" s="232">
        <f>I13</f>
        <v>0</v>
      </c>
      <c r="I139" s="255"/>
      <c r="J139" s="126" t="s">
        <v>376</v>
      </c>
      <c r="K139" s="232">
        <f>M13</f>
        <v>0</v>
      </c>
      <c r="L139" s="232"/>
      <c r="M139" s="232"/>
      <c r="N139" s="232"/>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c r="AR139" s="10"/>
      <c r="AS139" s="10"/>
      <c r="AT139" s="10"/>
      <c r="AU139" s="10"/>
      <c r="AV139" s="10"/>
      <c r="AW139" s="10"/>
      <c r="AX139" s="10"/>
      <c r="AY139" s="10"/>
      <c r="AZ139" s="10"/>
      <c r="BA139" s="10"/>
      <c r="BB139" s="10"/>
      <c r="BC139" s="10"/>
      <c r="BN139" s="62"/>
      <c r="BO139" s="62"/>
      <c r="BP139" s="63"/>
    </row>
    <row r="140" spans="2:68" s="9" customFormat="1" ht="3" customHeight="1" x14ac:dyDescent="0.2">
      <c r="B140" s="159"/>
      <c r="C140" s="159"/>
      <c r="D140" s="159"/>
      <c r="E140" s="159"/>
      <c r="F140" s="159"/>
      <c r="G140" s="159"/>
      <c r="H140" s="159"/>
      <c r="I140" s="159"/>
      <c r="J140" s="159"/>
      <c r="K140" s="159"/>
      <c r="L140" s="159"/>
      <c r="M140" s="159"/>
      <c r="N140" s="159"/>
      <c r="O140" s="10"/>
      <c r="X140" s="10"/>
      <c r="Y140" s="10"/>
      <c r="Z140" s="10"/>
      <c r="AA140" s="10"/>
      <c r="AB140" s="10"/>
      <c r="AC140" s="10"/>
      <c r="AD140" s="10"/>
      <c r="AE140" s="10"/>
      <c r="AF140" s="10"/>
      <c r="AG140" s="10"/>
      <c r="AH140" s="10"/>
      <c r="AI140" s="10"/>
      <c r="AJ140" s="10"/>
      <c r="AK140" s="10"/>
      <c r="AL140" s="10"/>
      <c r="AM140" s="10"/>
      <c r="AN140" s="10"/>
      <c r="AO140" s="10"/>
      <c r="AP140" s="10"/>
      <c r="AQ140" s="10"/>
      <c r="AR140" s="10"/>
      <c r="AS140" s="10"/>
      <c r="AT140" s="10"/>
      <c r="AU140" s="10"/>
      <c r="AV140" s="10"/>
      <c r="AW140" s="10"/>
      <c r="AX140" s="10"/>
      <c r="AY140" s="10"/>
      <c r="AZ140" s="10"/>
      <c r="BA140" s="10"/>
      <c r="BB140" s="10"/>
      <c r="BC140" s="10"/>
      <c r="BN140" s="62"/>
      <c r="BO140" s="62"/>
      <c r="BP140" s="63"/>
    </row>
    <row r="141" spans="2:68" s="9" customFormat="1" ht="10.5" customHeight="1" x14ac:dyDescent="0.2">
      <c r="B141" s="157" t="s">
        <v>0</v>
      </c>
      <c r="C141" s="157"/>
      <c r="D141" s="157"/>
      <c r="E141" s="157"/>
      <c r="F141" s="157"/>
      <c r="G141" s="157"/>
      <c r="H141" s="157"/>
      <c r="I141" s="157"/>
      <c r="J141" s="157"/>
      <c r="K141" s="157"/>
      <c r="L141" s="157"/>
      <c r="M141" s="157"/>
      <c r="N141" s="157"/>
      <c r="BN141" s="62"/>
      <c r="BO141" s="62"/>
      <c r="BP141" s="63"/>
    </row>
    <row r="142" spans="2:68" s="9" customFormat="1" ht="54.75" customHeight="1" x14ac:dyDescent="0.2">
      <c r="B142" s="158"/>
      <c r="C142" s="158"/>
      <c r="D142" s="158"/>
      <c r="E142" s="158"/>
      <c r="F142" s="158"/>
      <c r="G142" s="158"/>
      <c r="H142" s="158"/>
      <c r="I142" s="158"/>
      <c r="J142" s="158"/>
      <c r="K142" s="158"/>
      <c r="L142" s="158"/>
      <c r="M142" s="158"/>
      <c r="N142" s="158"/>
      <c r="BN142" s="62"/>
      <c r="BO142" s="62"/>
      <c r="BP142" s="63"/>
    </row>
    <row r="143" spans="2:68" s="9" customFormat="1" ht="12" customHeight="1" x14ac:dyDescent="0.2">
      <c r="B143" s="156" t="s">
        <v>27</v>
      </c>
      <c r="C143" s="156"/>
      <c r="D143" s="156"/>
      <c r="E143" s="156"/>
      <c r="F143" s="156"/>
      <c r="G143" s="156"/>
      <c r="H143" s="156"/>
      <c r="I143" s="156"/>
      <c r="J143" s="156"/>
      <c r="K143" s="156"/>
      <c r="L143" s="156"/>
      <c r="M143" s="156"/>
      <c r="N143" s="156"/>
      <c r="BN143" s="62"/>
      <c r="BO143" s="62"/>
      <c r="BP143" s="63"/>
    </row>
    <row r="144" spans="2:68" s="9" customFormat="1" ht="20.25" customHeight="1" x14ac:dyDescent="0.2">
      <c r="B144" s="149" t="s">
        <v>28</v>
      </c>
      <c r="C144" s="149"/>
      <c r="D144" s="149"/>
      <c r="E144" s="149"/>
      <c r="F144" s="149"/>
      <c r="G144" s="149"/>
      <c r="H144" s="149"/>
      <c r="I144" s="149"/>
      <c r="J144" s="149"/>
      <c r="K144" s="149"/>
      <c r="L144" s="149"/>
      <c r="M144" s="150"/>
      <c r="N144" s="150"/>
      <c r="BN144" s="62"/>
      <c r="BO144" s="62"/>
      <c r="BP144" s="63"/>
    </row>
    <row r="145" spans="2:68" s="9" customFormat="1" ht="86.25" customHeight="1" x14ac:dyDescent="0.2">
      <c r="B145" s="149" t="s">
        <v>29</v>
      </c>
      <c r="C145" s="149"/>
      <c r="D145" s="149"/>
      <c r="E145" s="149"/>
      <c r="F145" s="149"/>
      <c r="G145" s="149"/>
      <c r="H145" s="149"/>
      <c r="I145" s="149"/>
      <c r="J145" s="149"/>
      <c r="K145" s="149"/>
      <c r="L145" s="149"/>
      <c r="M145" s="150"/>
      <c r="N145" s="150"/>
      <c r="BN145" s="62"/>
      <c r="BO145" s="62"/>
      <c r="BP145" s="63"/>
    </row>
    <row r="146" spans="2:68" s="9" customFormat="1" ht="18.75" customHeight="1" x14ac:dyDescent="0.2">
      <c r="B146" s="149" t="s">
        <v>30</v>
      </c>
      <c r="C146" s="149"/>
      <c r="D146" s="149"/>
      <c r="E146" s="149"/>
      <c r="F146" s="149"/>
      <c r="G146" s="149"/>
      <c r="H146" s="149"/>
      <c r="I146" s="149"/>
      <c r="J146" s="149"/>
      <c r="K146" s="149"/>
      <c r="L146" s="149"/>
      <c r="M146" s="150"/>
      <c r="N146" s="150"/>
      <c r="BN146" s="62"/>
      <c r="BO146" s="62"/>
      <c r="BP146" s="63"/>
    </row>
    <row r="147" spans="2:68" s="9" customFormat="1" ht="37.5" customHeight="1" x14ac:dyDescent="0.2">
      <c r="B147" s="149" t="s">
        <v>31</v>
      </c>
      <c r="C147" s="150"/>
      <c r="D147" s="150"/>
      <c r="E147" s="150"/>
      <c r="F147" s="150"/>
      <c r="G147" s="150"/>
      <c r="H147" s="150"/>
      <c r="I147" s="150"/>
      <c r="J147" s="150"/>
      <c r="K147" s="150"/>
      <c r="L147" s="150"/>
      <c r="M147" s="150"/>
      <c r="N147" s="150"/>
      <c r="BN147" s="62"/>
      <c r="BO147" s="62"/>
      <c r="BP147" s="63"/>
    </row>
    <row r="148" spans="2:68" s="9" customFormat="1" ht="21" customHeight="1" x14ac:dyDescent="0.2">
      <c r="B148" s="149" t="s">
        <v>32</v>
      </c>
      <c r="C148" s="150"/>
      <c r="D148" s="150"/>
      <c r="E148" s="150"/>
      <c r="F148" s="150"/>
      <c r="G148" s="150"/>
      <c r="H148" s="150"/>
      <c r="I148" s="150"/>
      <c r="J148" s="150"/>
      <c r="K148" s="150"/>
      <c r="L148" s="150"/>
      <c r="M148" s="150"/>
      <c r="N148" s="150"/>
      <c r="BN148" s="62"/>
      <c r="BO148" s="62"/>
      <c r="BP148" s="63"/>
    </row>
    <row r="149" spans="2:68" s="9" customFormat="1" ht="28.5" customHeight="1" x14ac:dyDescent="0.2">
      <c r="B149" s="149" t="s">
        <v>33</v>
      </c>
      <c r="C149" s="150"/>
      <c r="D149" s="150"/>
      <c r="E149" s="150"/>
      <c r="F149" s="150"/>
      <c r="G149" s="150"/>
      <c r="H149" s="150"/>
      <c r="I149" s="150"/>
      <c r="J149" s="150"/>
      <c r="K149" s="150"/>
      <c r="L149" s="150"/>
      <c r="M149" s="150"/>
      <c r="N149" s="150"/>
      <c r="BN149" s="62"/>
      <c r="BO149" s="62"/>
      <c r="BP149" s="63"/>
    </row>
    <row r="150" spans="2:68" s="9" customFormat="1" ht="47.25" customHeight="1" x14ac:dyDescent="0.2">
      <c r="B150" s="149" t="s">
        <v>1</v>
      </c>
      <c r="C150" s="150"/>
      <c r="D150" s="150"/>
      <c r="E150" s="150"/>
      <c r="F150" s="150"/>
      <c r="G150" s="150"/>
      <c r="H150" s="150"/>
      <c r="I150" s="150"/>
      <c r="J150" s="150"/>
      <c r="K150" s="150"/>
      <c r="L150" s="150"/>
      <c r="M150" s="150"/>
      <c r="N150" s="150"/>
      <c r="BN150" s="62"/>
      <c r="BO150" s="62"/>
      <c r="BP150" s="63"/>
    </row>
    <row r="151" spans="2:68" s="9" customFormat="1" ht="29.25" customHeight="1" x14ac:dyDescent="0.2">
      <c r="B151" s="149" t="s">
        <v>34</v>
      </c>
      <c r="C151" s="150"/>
      <c r="D151" s="150"/>
      <c r="E151" s="150"/>
      <c r="F151" s="150"/>
      <c r="G151" s="150"/>
      <c r="H151" s="150"/>
      <c r="I151" s="150"/>
      <c r="J151" s="150"/>
      <c r="K151" s="150"/>
      <c r="L151" s="150"/>
      <c r="M151" s="150"/>
      <c r="N151" s="150"/>
      <c r="BN151" s="62"/>
      <c r="BO151" s="62"/>
      <c r="BP151" s="63"/>
    </row>
    <row r="152" spans="2:68" s="9" customFormat="1" ht="45.75" customHeight="1" x14ac:dyDescent="0.2">
      <c r="B152" s="149" t="s">
        <v>35</v>
      </c>
      <c r="C152" s="150"/>
      <c r="D152" s="150"/>
      <c r="E152" s="150"/>
      <c r="F152" s="150"/>
      <c r="G152" s="150"/>
      <c r="H152" s="150"/>
      <c r="I152" s="150"/>
      <c r="J152" s="150"/>
      <c r="K152" s="150"/>
      <c r="L152" s="150"/>
      <c r="M152" s="150"/>
      <c r="N152" s="150"/>
      <c r="BN152" s="62"/>
      <c r="BO152" s="62"/>
      <c r="BP152" s="63"/>
    </row>
    <row r="153" spans="2:68" s="9" customFormat="1" ht="18.75" customHeight="1" x14ac:dyDescent="0.2">
      <c r="B153" s="149" t="s">
        <v>36</v>
      </c>
      <c r="C153" s="150"/>
      <c r="D153" s="150"/>
      <c r="E153" s="150"/>
      <c r="F153" s="150"/>
      <c r="G153" s="150"/>
      <c r="H153" s="150"/>
      <c r="I153" s="150"/>
      <c r="J153" s="150"/>
      <c r="K153" s="150"/>
      <c r="L153" s="150"/>
      <c r="M153" s="150"/>
      <c r="N153" s="150"/>
      <c r="BN153" s="62"/>
      <c r="BO153" s="62"/>
      <c r="BP153" s="63"/>
    </row>
    <row r="154" spans="2:68" s="9" customFormat="1" ht="18.75" customHeight="1" x14ac:dyDescent="0.2">
      <c r="B154" s="149" t="s">
        <v>37</v>
      </c>
      <c r="C154" s="150"/>
      <c r="D154" s="150"/>
      <c r="E154" s="150"/>
      <c r="F154" s="150"/>
      <c r="G154" s="150"/>
      <c r="H154" s="150"/>
      <c r="I154" s="150"/>
      <c r="J154" s="150"/>
      <c r="K154" s="150"/>
      <c r="L154" s="150"/>
      <c r="M154" s="150"/>
      <c r="N154" s="150"/>
      <c r="BN154" s="62"/>
      <c r="BO154" s="62"/>
      <c r="BP154" s="63"/>
    </row>
    <row r="155" spans="2:68" s="9" customFormat="1" ht="18.75" customHeight="1" x14ac:dyDescent="0.2">
      <c r="B155" s="149" t="s">
        <v>38</v>
      </c>
      <c r="C155" s="150"/>
      <c r="D155" s="150"/>
      <c r="E155" s="150"/>
      <c r="F155" s="150"/>
      <c r="G155" s="150"/>
      <c r="H155" s="150"/>
      <c r="I155" s="150"/>
      <c r="J155" s="150"/>
      <c r="K155" s="150"/>
      <c r="L155" s="150"/>
      <c r="M155" s="150"/>
      <c r="N155" s="150"/>
      <c r="BN155" s="62"/>
      <c r="BO155" s="62"/>
      <c r="BP155" s="63"/>
    </row>
    <row r="156" spans="2:68" s="9" customFormat="1" ht="18.75" customHeight="1" x14ac:dyDescent="0.2">
      <c r="B156" s="149" t="s">
        <v>5</v>
      </c>
      <c r="C156" s="150"/>
      <c r="D156" s="150"/>
      <c r="E156" s="150"/>
      <c r="F156" s="150"/>
      <c r="G156" s="150"/>
      <c r="H156" s="150"/>
      <c r="I156" s="150"/>
      <c r="J156" s="150"/>
      <c r="K156" s="150"/>
      <c r="L156" s="150"/>
      <c r="M156" s="150"/>
      <c r="N156" s="150"/>
      <c r="BN156" s="62"/>
      <c r="BO156" s="62"/>
      <c r="BP156" s="63"/>
    </row>
    <row r="157" spans="2:68" ht="10.5" customHeight="1" x14ac:dyDescent="0.2">
      <c r="B157" s="153" t="s">
        <v>16</v>
      </c>
      <c r="C157" s="154"/>
      <c r="D157" s="154"/>
      <c r="E157" s="154"/>
      <c r="F157" s="154"/>
      <c r="G157" s="154"/>
      <c r="H157" s="154"/>
      <c r="I157" s="154"/>
      <c r="J157" s="154"/>
      <c r="K157" s="154"/>
      <c r="L157" s="154"/>
      <c r="M157" s="154"/>
      <c r="N157" s="154"/>
      <c r="O157" s="9"/>
      <c r="P157"/>
      <c r="Q157"/>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row>
    <row r="158" spans="2:68" ht="21" customHeight="1" x14ac:dyDescent="0.2">
      <c r="B158" s="153" t="s">
        <v>17</v>
      </c>
      <c r="C158" s="153"/>
      <c r="D158" s="153"/>
      <c r="E158" s="153"/>
      <c r="F158" s="153"/>
      <c r="G158" s="153"/>
      <c r="H158" s="153"/>
      <c r="I158" s="153"/>
      <c r="J158" s="153"/>
      <c r="K158" s="153"/>
      <c r="L158" s="153"/>
      <c r="M158" s="154"/>
      <c r="N158" s="154"/>
      <c r="O158" s="9"/>
      <c r="P158"/>
      <c r="Q158"/>
      <c r="R158"/>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row>
    <row r="159" spans="2:68" s="9" customFormat="1" ht="10.5" customHeight="1" x14ac:dyDescent="0.2">
      <c r="B159" s="147" t="s">
        <v>18</v>
      </c>
      <c r="C159" s="147"/>
      <c r="D159" s="147"/>
      <c r="E159" s="147"/>
      <c r="F159" s="147"/>
      <c r="G159" s="147"/>
      <c r="H159" s="147"/>
      <c r="I159" s="147"/>
      <c r="J159" s="147"/>
      <c r="K159" s="147"/>
      <c r="L159" s="147"/>
      <c r="M159" s="148"/>
      <c r="N159" s="148"/>
      <c r="P159" s="61"/>
      <c r="Q159" s="61"/>
      <c r="R159" s="61"/>
      <c r="S159" s="61"/>
      <c r="T159" s="61"/>
      <c r="U159" s="61"/>
      <c r="V159" s="61"/>
      <c r="W159" s="61"/>
      <c r="BN159" s="62"/>
      <c r="BO159" s="62"/>
      <c r="BP159" s="63"/>
    </row>
    <row r="160" spans="2:68" s="61" customFormat="1" ht="15.6" customHeight="1" x14ac:dyDescent="0.2">
      <c r="B160" s="151" t="s">
        <v>19</v>
      </c>
      <c r="C160" s="151"/>
      <c r="D160" s="151"/>
      <c r="E160" s="152"/>
      <c r="F160" s="152"/>
      <c r="G160" s="152"/>
      <c r="H160" s="127" t="s">
        <v>20</v>
      </c>
      <c r="I160" s="128"/>
      <c r="J160" s="127" t="s">
        <v>3</v>
      </c>
      <c r="K160" s="152"/>
      <c r="L160" s="152"/>
      <c r="M160" s="152"/>
      <c r="N160" s="129" t="s">
        <v>278</v>
      </c>
      <c r="BN160" s="62"/>
      <c r="BO160" s="62"/>
      <c r="BP160" s="63"/>
    </row>
    <row r="161" spans="1:68" s="61" customFormat="1" ht="2.25" customHeight="1" x14ac:dyDescent="0.2">
      <c r="B161" s="130"/>
      <c r="C161" s="130"/>
      <c r="D161" s="130"/>
      <c r="E161" s="130"/>
      <c r="F161" s="130"/>
      <c r="G161" s="130"/>
      <c r="H161" s="130"/>
      <c r="I161" s="130"/>
      <c r="J161" s="130"/>
      <c r="K161" s="130"/>
      <c r="L161" s="130"/>
      <c r="BN161" s="62"/>
      <c r="BO161" s="62"/>
      <c r="BP161" s="63"/>
    </row>
    <row r="162" spans="1:68" s="61" customFormat="1" ht="9" customHeight="1" x14ac:dyDescent="0.2">
      <c r="B162" s="131" t="s">
        <v>21</v>
      </c>
      <c r="C162" s="131"/>
      <c r="D162" s="130"/>
      <c r="E162" s="130"/>
      <c r="F162" s="130"/>
      <c r="G162" s="130"/>
      <c r="H162" s="130"/>
      <c r="I162" s="130"/>
      <c r="J162" s="130"/>
      <c r="K162" s="130"/>
      <c r="L162" s="130"/>
      <c r="BN162" s="62"/>
      <c r="BO162" s="62"/>
      <c r="BP162" s="63"/>
    </row>
    <row r="163" spans="1:68" s="61" customFormat="1" ht="8.25" customHeight="1" x14ac:dyDescent="0.2">
      <c r="B163" s="130" t="s">
        <v>22</v>
      </c>
      <c r="C163" s="130"/>
      <c r="D163" s="130"/>
      <c r="E163" s="130"/>
      <c r="F163" s="130"/>
      <c r="G163" s="130"/>
      <c r="H163" s="130"/>
      <c r="I163" s="130"/>
      <c r="J163" s="130"/>
      <c r="K163" s="130"/>
      <c r="L163" s="130"/>
      <c r="BN163" s="62"/>
      <c r="BO163" s="62"/>
      <c r="BP163" s="63"/>
    </row>
    <row r="164" spans="1:68" s="61" customFormat="1" ht="2.25" customHeight="1" x14ac:dyDescent="0.2">
      <c r="B164" s="130"/>
      <c r="C164" s="130"/>
      <c r="D164" s="130"/>
      <c r="E164" s="130"/>
      <c r="F164" s="130"/>
      <c r="G164" s="130"/>
      <c r="H164" s="130"/>
      <c r="I164" s="130"/>
      <c r="J164" s="130"/>
      <c r="K164" s="130"/>
      <c r="L164" s="130"/>
      <c r="BN164" s="62"/>
      <c r="BO164" s="62"/>
      <c r="BP164" s="63"/>
    </row>
    <row r="165" spans="1:68" s="61" customFormat="1" ht="15.6" customHeight="1" x14ac:dyDescent="0.2">
      <c r="B165" s="132" t="s">
        <v>23</v>
      </c>
      <c r="C165" s="131"/>
      <c r="D165" s="131"/>
      <c r="E165" s="145"/>
      <c r="F165" s="145"/>
      <c r="G165" s="145"/>
      <c r="H165" s="145"/>
      <c r="I165" s="133" t="s">
        <v>24</v>
      </c>
      <c r="J165" s="144"/>
      <c r="K165" s="144"/>
      <c r="L165" s="144"/>
      <c r="M165" s="144"/>
      <c r="N165" s="144"/>
      <c r="BN165" s="62"/>
      <c r="BO165" s="62"/>
      <c r="BP165" s="63"/>
    </row>
    <row r="166" spans="1:68" s="61" customFormat="1" ht="8.25" customHeight="1" x14ac:dyDescent="0.2">
      <c r="B166" s="130"/>
      <c r="BN166" s="62"/>
      <c r="BO166" s="62"/>
      <c r="BP166" s="63"/>
    </row>
    <row r="167" spans="1:68" s="61" customFormat="1" ht="15.6" customHeight="1" x14ac:dyDescent="0.2">
      <c r="B167" s="132" t="s">
        <v>23</v>
      </c>
      <c r="C167" s="131"/>
      <c r="D167" s="131"/>
      <c r="E167" s="145"/>
      <c r="F167" s="145"/>
      <c r="G167" s="145"/>
      <c r="H167" s="145"/>
      <c r="I167" s="133" t="s">
        <v>25</v>
      </c>
      <c r="J167" s="144"/>
      <c r="K167" s="144"/>
      <c r="L167" s="144"/>
      <c r="M167" s="144"/>
      <c r="N167" s="144"/>
      <c r="BN167" s="62"/>
      <c r="BO167" s="62"/>
      <c r="BP167" s="63"/>
    </row>
    <row r="168" spans="1:68" s="61" customFormat="1" ht="12.75" customHeight="1" x14ac:dyDescent="0.2">
      <c r="B168" s="155" t="s">
        <v>26</v>
      </c>
      <c r="C168" s="155"/>
      <c r="D168" s="155"/>
      <c r="E168" s="155"/>
      <c r="F168" s="155"/>
      <c r="G168" s="155"/>
      <c r="H168" s="155"/>
      <c r="I168" s="155"/>
      <c r="J168" s="155"/>
      <c r="K168" s="155"/>
      <c r="L168" s="155"/>
      <c r="M168" s="155"/>
      <c r="N168" s="155"/>
      <c r="P168" s="10"/>
      <c r="Q168" s="10"/>
      <c r="R168" s="10"/>
      <c r="S168" s="10"/>
      <c r="T168" s="10"/>
      <c r="U168" s="10"/>
      <c r="V168" s="10"/>
      <c r="W168" s="10"/>
      <c r="BN168" s="62"/>
      <c r="BO168" s="62"/>
      <c r="BP168" s="63"/>
    </row>
    <row r="169" spans="1:68" s="9" customFormat="1" x14ac:dyDescent="0.2">
      <c r="A169" s="277"/>
      <c r="B169" s="172"/>
      <c r="C169" s="172"/>
      <c r="D169" s="172"/>
      <c r="E169" s="172"/>
      <c r="F169" s="172"/>
      <c r="G169" s="172"/>
      <c r="H169" s="172"/>
      <c r="I169" s="172"/>
      <c r="J169" s="172"/>
      <c r="K169" s="172"/>
      <c r="L169" s="172"/>
      <c r="M169" s="172"/>
      <c r="N169" s="172"/>
      <c r="O169" s="172"/>
      <c r="X169" s="10"/>
      <c r="Y169" s="10"/>
      <c r="Z169" s="10"/>
      <c r="AA169" s="10"/>
      <c r="AB169" s="10"/>
      <c r="AC169" s="10"/>
      <c r="AD169" s="10"/>
      <c r="AE169" s="10"/>
      <c r="AF169" s="10"/>
      <c r="AG169" s="10"/>
      <c r="AH169" s="10"/>
      <c r="AI169" s="10"/>
      <c r="AJ169" s="10"/>
      <c r="AK169" s="10"/>
      <c r="AL169" s="10"/>
      <c r="AM169" s="10"/>
      <c r="AN169" s="10"/>
      <c r="AO169" s="10"/>
      <c r="AP169" s="10"/>
      <c r="AQ169" s="10"/>
      <c r="AR169" s="10"/>
      <c r="AS169" s="10"/>
      <c r="AT169" s="10"/>
      <c r="AU169" s="10"/>
      <c r="AV169" s="10"/>
      <c r="AW169" s="10"/>
      <c r="AX169" s="10"/>
      <c r="AY169" s="10"/>
      <c r="AZ169" s="10"/>
      <c r="BA169" s="10"/>
      <c r="BB169" s="10"/>
      <c r="BC169" s="10"/>
      <c r="BN169" s="62"/>
      <c r="BO169" s="62"/>
      <c r="BP169" s="63"/>
    </row>
    <row r="170" spans="1:68" s="9" customFormat="1" ht="24" customHeight="1" x14ac:dyDescent="0.2">
      <c r="A170" s="277"/>
      <c r="B170" s="276" t="s">
        <v>361</v>
      </c>
      <c r="C170" s="276"/>
      <c r="D170" s="276"/>
      <c r="E170" s="276"/>
      <c r="F170" s="276"/>
      <c r="G170" s="276"/>
      <c r="H170" s="276"/>
      <c r="I170" s="276"/>
      <c r="J170" s="276"/>
      <c r="K170" s="276"/>
      <c r="L170" s="276"/>
      <c r="M170" s="276"/>
      <c r="N170" s="276"/>
      <c r="O170" s="172"/>
    </row>
    <row r="171" spans="1:68" s="9" customFormat="1" ht="16.5" customHeight="1" x14ac:dyDescent="0.2">
      <c r="A171" s="277"/>
      <c r="B171" s="262"/>
      <c r="C171" s="262"/>
      <c r="D171" s="262"/>
      <c r="E171" s="262"/>
      <c r="F171" s="262"/>
      <c r="G171" s="262"/>
      <c r="H171" s="262"/>
      <c r="I171" s="262"/>
      <c r="J171" s="262"/>
      <c r="K171" s="262"/>
      <c r="L171" s="262"/>
      <c r="M171" s="262"/>
      <c r="N171" s="262"/>
      <c r="O171" s="172"/>
    </row>
    <row r="172" spans="1:68" s="9" customFormat="1" ht="7.5" customHeight="1" x14ac:dyDescent="0.2">
      <c r="A172" s="277"/>
      <c r="B172" s="262"/>
      <c r="C172" s="262"/>
      <c r="D172" s="262"/>
      <c r="E172" s="262"/>
      <c r="F172" s="262"/>
      <c r="G172" s="262"/>
      <c r="H172" s="262"/>
      <c r="I172" s="262"/>
      <c r="J172" s="262"/>
      <c r="K172" s="262"/>
      <c r="L172" s="262"/>
      <c r="M172" s="262"/>
      <c r="N172" s="262"/>
      <c r="O172" s="172"/>
    </row>
    <row r="173" spans="1:68" s="9" customFormat="1" ht="12.75" customHeight="1" x14ac:dyDescent="0.2">
      <c r="A173" s="277"/>
      <c r="B173" s="278" t="s">
        <v>339</v>
      </c>
      <c r="C173" s="278"/>
      <c r="D173" s="278"/>
      <c r="E173" s="278"/>
      <c r="F173" s="278"/>
      <c r="G173" s="278"/>
      <c r="H173" s="278"/>
      <c r="I173" s="278"/>
      <c r="J173" s="278"/>
      <c r="K173" s="278"/>
      <c r="L173" s="278"/>
      <c r="M173" s="278"/>
      <c r="N173" s="278"/>
      <c r="O173" s="172"/>
    </row>
    <row r="174" spans="1:68" s="9" customFormat="1" ht="21.75" customHeight="1" x14ac:dyDescent="0.25">
      <c r="A174" s="277"/>
      <c r="B174" s="263" t="s">
        <v>340</v>
      </c>
      <c r="C174" s="263"/>
      <c r="D174" s="263"/>
      <c r="E174" s="263"/>
      <c r="F174" s="263"/>
      <c r="G174" s="263"/>
      <c r="H174" s="263"/>
      <c r="I174" s="263"/>
      <c r="J174" s="263"/>
      <c r="K174" s="263"/>
      <c r="L174" s="263"/>
      <c r="M174" s="263"/>
      <c r="N174" s="263"/>
      <c r="O174" s="172"/>
    </row>
    <row r="175" spans="1:68" s="9" customFormat="1" ht="12.75" customHeight="1" x14ac:dyDescent="0.2">
      <c r="A175" s="277"/>
      <c r="B175" s="225" t="s">
        <v>341</v>
      </c>
      <c r="C175" s="225"/>
      <c r="D175" s="225"/>
      <c r="E175" s="225"/>
      <c r="F175" s="226"/>
      <c r="G175" s="227" t="s">
        <v>342</v>
      </c>
      <c r="H175" s="228"/>
      <c r="I175" s="228"/>
      <c r="J175" s="229"/>
      <c r="K175" s="227" t="s">
        <v>343</v>
      </c>
      <c r="L175" s="228"/>
      <c r="M175" s="228"/>
      <c r="N175" s="228"/>
      <c r="O175" s="172"/>
    </row>
    <row r="176" spans="1:68" s="9" customFormat="1" ht="21.75" customHeight="1" x14ac:dyDescent="0.2">
      <c r="A176" s="277"/>
      <c r="B176" s="287" t="s">
        <v>363</v>
      </c>
      <c r="C176" s="287"/>
      <c r="D176" s="287"/>
      <c r="E176" s="287"/>
      <c r="F176" s="287"/>
      <c r="G176" s="288" t="s">
        <v>362</v>
      </c>
      <c r="H176" s="287"/>
      <c r="I176" s="287"/>
      <c r="J176" s="287"/>
      <c r="K176" s="230"/>
      <c r="L176" s="231"/>
      <c r="M176" s="231"/>
      <c r="N176" s="231"/>
      <c r="O176" s="172"/>
    </row>
    <row r="177" spans="1:15" s="9" customFormat="1" ht="12.75" customHeight="1" thickBot="1" x14ac:dyDescent="0.25">
      <c r="A177" s="277"/>
      <c r="B177" s="264"/>
      <c r="C177" s="264"/>
      <c r="D177" s="264"/>
      <c r="E177" s="264"/>
      <c r="F177" s="264"/>
      <c r="G177" s="264"/>
      <c r="H177" s="264"/>
      <c r="I177" s="264"/>
      <c r="J177" s="264"/>
      <c r="K177" s="264"/>
      <c r="L177" s="264"/>
      <c r="M177" s="264"/>
      <c r="N177" s="264"/>
      <c r="O177" s="172"/>
    </row>
    <row r="178" spans="1:15" s="9" customFormat="1" ht="12.75" customHeight="1" x14ac:dyDescent="0.2">
      <c r="A178" s="277"/>
      <c r="B178" s="223" t="s">
        <v>344</v>
      </c>
      <c r="C178" s="224"/>
      <c r="D178" s="224"/>
      <c r="E178" s="224"/>
      <c r="F178" s="224"/>
      <c r="G178" s="224"/>
      <c r="H178" s="224"/>
      <c r="I178" s="224"/>
      <c r="J178" s="224"/>
      <c r="K178" s="224"/>
      <c r="L178" s="224"/>
      <c r="M178" s="224"/>
      <c r="N178" s="224"/>
      <c r="O178" s="172"/>
    </row>
    <row r="179" spans="1:15" s="9" customFormat="1" ht="21.75" customHeight="1" x14ac:dyDescent="0.2">
      <c r="A179" s="277"/>
      <c r="B179" s="231"/>
      <c r="C179" s="231"/>
      <c r="D179" s="231"/>
      <c r="E179" s="231"/>
      <c r="F179" s="231"/>
      <c r="G179" s="231"/>
      <c r="H179" s="231"/>
      <c r="I179" s="231"/>
      <c r="J179" s="231"/>
      <c r="K179" s="231"/>
      <c r="L179" s="231"/>
      <c r="M179" s="231"/>
      <c r="N179" s="231"/>
      <c r="O179" s="172"/>
    </row>
    <row r="180" spans="1:15" s="9" customFormat="1" ht="12.75" customHeight="1" x14ac:dyDescent="0.2">
      <c r="A180" s="277"/>
      <c r="B180" s="248" t="s">
        <v>368</v>
      </c>
      <c r="C180" s="249"/>
      <c r="D180" s="249"/>
      <c r="E180" s="249"/>
      <c r="F180" s="249"/>
      <c r="G180" s="249"/>
      <c r="H180" s="249"/>
      <c r="I180" s="249"/>
      <c r="J180" s="249"/>
      <c r="K180" s="249"/>
      <c r="L180" s="249"/>
      <c r="M180" s="249"/>
      <c r="N180" s="249"/>
      <c r="O180" s="172"/>
    </row>
    <row r="181" spans="1:15" s="9" customFormat="1" ht="21.75" customHeight="1" x14ac:dyDescent="0.2">
      <c r="A181" s="277"/>
      <c r="B181" s="240"/>
      <c r="C181" s="240"/>
      <c r="D181" s="240"/>
      <c r="E181" s="240"/>
      <c r="F181" s="240"/>
      <c r="G181" s="240"/>
      <c r="H181" s="240"/>
      <c r="I181" s="240"/>
      <c r="J181" s="240"/>
      <c r="K181" s="240"/>
      <c r="L181" s="240"/>
      <c r="M181" s="240"/>
      <c r="N181" s="240"/>
      <c r="O181" s="172"/>
    </row>
    <row r="182" spans="1:15" s="9" customFormat="1" ht="12.75" customHeight="1" x14ac:dyDescent="0.2">
      <c r="A182" s="277"/>
      <c r="B182" s="241" t="s">
        <v>345</v>
      </c>
      <c r="C182" s="242"/>
      <c r="D182" s="242"/>
      <c r="E182" s="242"/>
      <c r="F182" s="242"/>
      <c r="G182" s="242" t="s">
        <v>346</v>
      </c>
      <c r="H182" s="245"/>
      <c r="I182" s="245"/>
      <c r="J182" s="245"/>
      <c r="K182" s="242" t="s">
        <v>347</v>
      </c>
      <c r="L182" s="245"/>
      <c r="M182" s="245"/>
      <c r="N182" s="246"/>
      <c r="O182" s="172"/>
    </row>
    <row r="183" spans="1:15" s="9" customFormat="1" ht="21.75" customHeight="1" x14ac:dyDescent="0.2">
      <c r="A183" s="277"/>
      <c r="B183" s="243"/>
      <c r="C183" s="244"/>
      <c r="D183" s="244"/>
      <c r="E183" s="244"/>
      <c r="F183" s="244"/>
      <c r="G183" s="244"/>
      <c r="H183" s="244"/>
      <c r="I183" s="244"/>
      <c r="J183" s="244"/>
      <c r="K183" s="244"/>
      <c r="L183" s="244"/>
      <c r="M183" s="244"/>
      <c r="N183" s="247"/>
      <c r="O183" s="172"/>
    </row>
    <row r="184" spans="1:15" s="9" customFormat="1" ht="12.75" customHeight="1" x14ac:dyDescent="0.2">
      <c r="A184" s="277"/>
      <c r="B184" s="248" t="s">
        <v>348</v>
      </c>
      <c r="C184" s="248"/>
      <c r="D184" s="248"/>
      <c r="E184" s="248"/>
      <c r="F184" s="248"/>
      <c r="G184" s="249"/>
      <c r="H184" s="253"/>
      <c r="I184" s="250" t="s">
        <v>349</v>
      </c>
      <c r="J184" s="248"/>
      <c r="K184" s="248"/>
      <c r="L184" s="248"/>
      <c r="M184" s="248"/>
      <c r="N184" s="248"/>
      <c r="O184" s="172"/>
    </row>
    <row r="185" spans="1:15" s="9" customFormat="1" ht="21.75" customHeight="1" x14ac:dyDescent="0.2">
      <c r="A185" s="277"/>
      <c r="B185" s="252"/>
      <c r="C185" s="252"/>
      <c r="D185" s="252"/>
      <c r="E185" s="252"/>
      <c r="F185" s="252"/>
      <c r="G185" s="252"/>
      <c r="H185" s="254"/>
      <c r="I185" s="251"/>
      <c r="J185" s="252"/>
      <c r="K185" s="252"/>
      <c r="L185" s="252"/>
      <c r="M185" s="252"/>
      <c r="N185" s="252"/>
      <c r="O185" s="172"/>
    </row>
    <row r="186" spans="1:15" s="9" customFormat="1" ht="18.75" customHeight="1" x14ac:dyDescent="0.2">
      <c r="A186" s="277"/>
      <c r="B186" s="265"/>
      <c r="C186" s="265"/>
      <c r="D186" s="265"/>
      <c r="E186" s="265"/>
      <c r="F186" s="265"/>
      <c r="G186" s="265"/>
      <c r="H186" s="265"/>
      <c r="I186" s="265"/>
      <c r="J186" s="265"/>
      <c r="K186" s="265"/>
      <c r="L186" s="265"/>
      <c r="M186" s="265"/>
      <c r="N186" s="265"/>
      <c r="O186" s="172"/>
    </row>
    <row r="187" spans="1:15" s="9" customFormat="1" ht="22.5" customHeight="1" x14ac:dyDescent="0.25">
      <c r="A187" s="277"/>
      <c r="B187" s="134" t="s">
        <v>350</v>
      </c>
      <c r="C187" s="135"/>
      <c r="D187" s="261"/>
      <c r="E187" s="261"/>
      <c r="F187" s="261"/>
      <c r="G187" s="261"/>
      <c r="H187" s="262" t="s">
        <v>370</v>
      </c>
      <c r="I187" s="262"/>
      <c r="J187" s="275" t="s">
        <v>369</v>
      </c>
      <c r="K187" s="275"/>
      <c r="L187" s="275"/>
      <c r="M187" s="275"/>
      <c r="N187" s="275"/>
      <c r="O187" s="172"/>
    </row>
    <row r="188" spans="1:15" s="9" customFormat="1" ht="7.5" customHeight="1" x14ac:dyDescent="0.2">
      <c r="A188" s="277"/>
      <c r="B188" s="239"/>
      <c r="C188" s="266"/>
      <c r="D188" s="266"/>
      <c r="E188" s="266"/>
      <c r="F188" s="266"/>
      <c r="G188" s="266"/>
      <c r="H188" s="266"/>
      <c r="I188" s="266"/>
      <c r="J188" s="266"/>
      <c r="K188" s="266"/>
      <c r="L188" s="266"/>
      <c r="M188" s="266"/>
      <c r="N188" s="266"/>
      <c r="O188" s="172"/>
    </row>
    <row r="189" spans="1:15" s="9" customFormat="1" ht="22.5" customHeight="1" x14ac:dyDescent="0.2">
      <c r="A189" s="277"/>
      <c r="B189" s="134" t="s">
        <v>365</v>
      </c>
      <c r="C189" s="134"/>
      <c r="D189" s="134"/>
      <c r="E189" s="136"/>
      <c r="F189" s="239" t="s">
        <v>351</v>
      </c>
      <c r="G189" s="266"/>
      <c r="H189" s="266"/>
      <c r="I189" s="239" t="s">
        <v>352</v>
      </c>
      <c r="J189" s="239"/>
      <c r="K189" s="239"/>
      <c r="L189" s="239"/>
      <c r="M189" s="239"/>
      <c r="N189" s="239"/>
      <c r="O189" s="172"/>
    </row>
    <row r="190" spans="1:15" s="9" customFormat="1" ht="7.5" customHeight="1" x14ac:dyDescent="0.2">
      <c r="A190" s="277"/>
      <c r="B190" s="239"/>
      <c r="C190" s="266"/>
      <c r="D190" s="266"/>
      <c r="E190" s="266"/>
      <c r="F190" s="266"/>
      <c r="G190" s="266"/>
      <c r="H190" s="266"/>
      <c r="I190" s="266"/>
      <c r="J190" s="266"/>
      <c r="K190" s="266"/>
      <c r="L190" s="266"/>
      <c r="M190" s="266"/>
      <c r="N190" s="266"/>
      <c r="O190" s="172"/>
    </row>
    <row r="191" spans="1:15" s="9" customFormat="1" ht="25.5" customHeight="1" x14ac:dyDescent="0.2">
      <c r="A191" s="277"/>
      <c r="B191" s="239" t="s">
        <v>364</v>
      </c>
      <c r="C191" s="239"/>
      <c r="D191" s="239"/>
      <c r="E191" s="239"/>
      <c r="F191" s="259"/>
      <c r="G191" s="259"/>
      <c r="H191" s="259"/>
      <c r="I191" s="259"/>
      <c r="J191" s="289" t="s">
        <v>353</v>
      </c>
      <c r="K191" s="289"/>
      <c r="L191" s="289"/>
      <c r="M191" s="260"/>
      <c r="N191" s="259"/>
      <c r="O191" s="172"/>
    </row>
    <row r="192" spans="1:15" s="9" customFormat="1" ht="7.5" customHeight="1" x14ac:dyDescent="0.2">
      <c r="A192" s="277"/>
      <c r="B192" s="239"/>
      <c r="C192" s="266"/>
      <c r="D192" s="266"/>
      <c r="E192" s="266"/>
      <c r="F192" s="266"/>
      <c r="G192" s="266"/>
      <c r="H192" s="266"/>
      <c r="I192" s="266"/>
      <c r="J192" s="266"/>
      <c r="K192" s="266"/>
      <c r="L192" s="266"/>
      <c r="M192" s="266"/>
      <c r="N192" s="266"/>
      <c r="O192" s="172"/>
    </row>
    <row r="193" spans="1:23" s="9" customFormat="1" ht="22.5" customHeight="1" x14ac:dyDescent="0.25">
      <c r="A193" s="277"/>
      <c r="B193" s="134" t="s">
        <v>354</v>
      </c>
      <c r="C193" s="134"/>
      <c r="D193" s="137"/>
      <c r="E193" s="138"/>
      <c r="F193" s="259"/>
      <c r="G193" s="259"/>
      <c r="H193" s="259"/>
      <c r="I193" s="267"/>
      <c r="J193" s="266"/>
      <c r="K193" s="266"/>
      <c r="L193" s="266"/>
      <c r="M193" s="266"/>
      <c r="N193" s="266"/>
      <c r="O193" s="172"/>
    </row>
    <row r="194" spans="1:23" s="9" customFormat="1" ht="21.75" customHeight="1" x14ac:dyDescent="0.2">
      <c r="A194" s="277"/>
      <c r="B194" s="268"/>
      <c r="C194" s="266"/>
      <c r="D194" s="266"/>
      <c r="E194" s="266"/>
      <c r="F194" s="266"/>
      <c r="G194" s="266"/>
      <c r="H194" s="266"/>
      <c r="I194" s="266"/>
      <c r="J194" s="266"/>
      <c r="K194" s="266"/>
      <c r="L194" s="266"/>
      <c r="M194" s="266"/>
      <c r="N194" s="266"/>
      <c r="O194" s="172"/>
    </row>
    <row r="195" spans="1:23" s="9" customFormat="1" ht="25.5" customHeight="1" x14ac:dyDescent="0.25">
      <c r="A195" s="277"/>
      <c r="B195" s="269" t="s">
        <v>355</v>
      </c>
      <c r="C195" s="266"/>
      <c r="D195" s="266"/>
      <c r="E195" s="266"/>
      <c r="F195" s="266"/>
      <c r="G195" s="266"/>
      <c r="H195" s="266"/>
      <c r="I195" s="266"/>
      <c r="J195" s="266"/>
      <c r="K195" s="269" t="s">
        <v>356</v>
      </c>
      <c r="L195" s="266"/>
      <c r="M195" s="266"/>
      <c r="N195" s="266"/>
      <c r="O195" s="172"/>
    </row>
    <row r="196" spans="1:23" s="9" customFormat="1" ht="7.5" customHeight="1" x14ac:dyDescent="0.2">
      <c r="A196" s="277"/>
      <c r="B196" s="268"/>
      <c r="C196" s="266"/>
      <c r="D196" s="266"/>
      <c r="E196" s="266"/>
      <c r="F196" s="266"/>
      <c r="G196" s="266"/>
      <c r="H196" s="266"/>
      <c r="I196" s="266"/>
      <c r="J196" s="266"/>
      <c r="K196" s="266"/>
      <c r="L196" s="266"/>
      <c r="M196" s="266"/>
      <c r="N196" s="266"/>
      <c r="O196" s="172"/>
    </row>
    <row r="197" spans="1:23" s="9" customFormat="1" ht="25.5" customHeight="1" x14ac:dyDescent="0.25">
      <c r="A197" s="277"/>
      <c r="B197" s="139">
        <v>1</v>
      </c>
      <c r="C197" s="135"/>
      <c r="D197" s="256" t="s">
        <v>366</v>
      </c>
      <c r="E197" s="256"/>
      <c r="F197" s="256"/>
      <c r="G197" s="256"/>
      <c r="H197" s="256"/>
      <c r="I197" s="256"/>
      <c r="J197" s="140" t="s">
        <v>357</v>
      </c>
      <c r="K197" s="270">
        <f>N107</f>
        <v>0</v>
      </c>
      <c r="L197" s="270"/>
      <c r="M197" s="270"/>
      <c r="N197" s="270"/>
      <c r="O197" s="172"/>
    </row>
    <row r="198" spans="1:23" s="9" customFormat="1" ht="25.5" customHeight="1" x14ac:dyDescent="0.25">
      <c r="A198" s="277"/>
      <c r="B198" s="139">
        <v>2</v>
      </c>
      <c r="C198" s="135"/>
      <c r="D198" s="257" t="s">
        <v>367</v>
      </c>
      <c r="E198" s="258"/>
      <c r="F198" s="258"/>
      <c r="G198" s="258"/>
      <c r="H198" s="258"/>
      <c r="I198" s="258"/>
      <c r="J198" s="140" t="s">
        <v>357</v>
      </c>
      <c r="K198" s="271"/>
      <c r="L198" s="257"/>
      <c r="M198" s="257"/>
      <c r="N198" s="257"/>
      <c r="O198" s="172"/>
    </row>
    <row r="199" spans="1:23" s="9" customFormat="1" ht="25.5" customHeight="1" x14ac:dyDescent="0.25">
      <c r="A199" s="277"/>
      <c r="B199" s="139">
        <v>3</v>
      </c>
      <c r="C199" s="135"/>
      <c r="D199" s="257"/>
      <c r="E199" s="257"/>
      <c r="F199" s="257"/>
      <c r="G199" s="257"/>
      <c r="H199" s="257"/>
      <c r="I199" s="257"/>
      <c r="J199" s="140" t="s">
        <v>357</v>
      </c>
      <c r="K199" s="271">
        <v>0</v>
      </c>
      <c r="L199" s="257"/>
      <c r="M199" s="257"/>
      <c r="N199" s="257"/>
      <c r="O199" s="172"/>
    </row>
    <row r="200" spans="1:23" s="9" customFormat="1" ht="7.5" customHeight="1" x14ac:dyDescent="0.2">
      <c r="A200" s="277"/>
      <c r="B200" s="239"/>
      <c r="C200" s="266"/>
      <c r="D200" s="266"/>
      <c r="E200" s="266"/>
      <c r="F200" s="266"/>
      <c r="G200" s="266"/>
      <c r="H200" s="266"/>
      <c r="I200" s="266"/>
      <c r="J200" s="266"/>
      <c r="K200" s="266"/>
      <c r="L200" s="266"/>
      <c r="M200" s="266"/>
      <c r="N200" s="266"/>
      <c r="O200" s="172"/>
    </row>
    <row r="201" spans="1:23" s="9" customFormat="1" ht="25.5" customHeight="1" thickBot="1" x14ac:dyDescent="0.3">
      <c r="A201" s="277"/>
      <c r="B201" s="269" t="s">
        <v>358</v>
      </c>
      <c r="C201" s="266"/>
      <c r="D201" s="266"/>
      <c r="E201" s="266"/>
      <c r="F201" s="266"/>
      <c r="G201" s="266"/>
      <c r="H201" s="266"/>
      <c r="I201" s="266"/>
      <c r="J201" s="140" t="s">
        <v>357</v>
      </c>
      <c r="K201" s="279">
        <f>SUM(K197:N200)</f>
        <v>0</v>
      </c>
      <c r="L201" s="280"/>
      <c r="M201" s="280"/>
      <c r="N201" s="280"/>
      <c r="O201" s="172"/>
    </row>
    <row r="202" spans="1:23" s="9" customFormat="1" ht="13.5" thickTop="1" x14ac:dyDescent="0.2">
      <c r="A202" s="277"/>
      <c r="B202" s="266"/>
      <c r="C202" s="266"/>
      <c r="D202" s="266"/>
      <c r="E202" s="266"/>
      <c r="F202" s="266"/>
      <c r="G202" s="266"/>
      <c r="H202" s="266"/>
      <c r="I202" s="266"/>
      <c r="J202" s="266"/>
      <c r="K202" s="266"/>
      <c r="L202" s="266"/>
      <c r="M202" s="266"/>
      <c r="N202" s="266"/>
      <c r="O202" s="172"/>
    </row>
    <row r="203" spans="1:23" s="9" customFormat="1" x14ac:dyDescent="0.2">
      <c r="A203" s="277"/>
      <c r="B203" s="286"/>
      <c r="C203" s="286"/>
      <c r="D203" s="286"/>
      <c r="E203" s="286"/>
      <c r="F203" s="286"/>
      <c r="G203" s="286"/>
      <c r="H203" s="286"/>
      <c r="I203" s="286"/>
      <c r="J203" s="286"/>
      <c r="K203" s="286"/>
      <c r="L203" s="286"/>
      <c r="M203" s="286"/>
      <c r="N203" s="286"/>
      <c r="O203" s="172"/>
    </row>
    <row r="204" spans="1:23" s="9" customFormat="1" ht="12.75" customHeight="1" x14ac:dyDescent="0.2">
      <c r="A204" s="277"/>
      <c r="B204" s="278" t="s">
        <v>13</v>
      </c>
      <c r="C204" s="272"/>
      <c r="D204" s="272"/>
      <c r="E204" s="272"/>
      <c r="F204" s="272"/>
      <c r="G204" s="272"/>
      <c r="H204" s="272"/>
      <c r="I204" s="272"/>
      <c r="J204" s="283"/>
      <c r="K204" s="281" t="s">
        <v>343</v>
      </c>
      <c r="L204" s="272"/>
      <c r="M204" s="272"/>
      <c r="N204" s="272"/>
      <c r="O204" s="172"/>
    </row>
    <row r="205" spans="1:23" s="9" customFormat="1" ht="25.5" customHeight="1" x14ac:dyDescent="0.2">
      <c r="A205" s="277"/>
      <c r="B205" s="284"/>
      <c r="C205" s="256"/>
      <c r="D205" s="256"/>
      <c r="E205" s="256"/>
      <c r="F205" s="256"/>
      <c r="G205" s="256"/>
      <c r="H205" s="256"/>
      <c r="I205" s="256"/>
      <c r="J205" s="285"/>
      <c r="K205" s="282"/>
      <c r="L205" s="259"/>
      <c r="M205" s="259"/>
      <c r="N205" s="259"/>
      <c r="O205" s="172"/>
    </row>
    <row r="206" spans="1:23" s="9" customFormat="1" x14ac:dyDescent="0.2">
      <c r="A206" s="277"/>
      <c r="B206" s="272"/>
      <c r="C206" s="272"/>
      <c r="D206" s="272"/>
      <c r="E206" s="272"/>
      <c r="F206" s="272"/>
      <c r="G206" s="272"/>
      <c r="H206" s="272"/>
      <c r="I206" s="272"/>
      <c r="J206" s="272"/>
      <c r="K206" s="272"/>
      <c r="L206" s="272"/>
      <c r="M206" s="272"/>
      <c r="N206" s="272"/>
      <c r="O206" s="172"/>
    </row>
    <row r="207" spans="1:23" s="9" customFormat="1" x14ac:dyDescent="0.2">
      <c r="A207" s="277"/>
      <c r="B207" s="273" t="s">
        <v>359</v>
      </c>
      <c r="C207" s="266"/>
      <c r="D207" s="266"/>
      <c r="E207" s="266"/>
      <c r="F207" s="266"/>
      <c r="G207" s="266"/>
      <c r="H207" s="266"/>
      <c r="I207" s="266"/>
      <c r="J207" s="266"/>
      <c r="K207" s="266"/>
      <c r="L207" s="266"/>
      <c r="M207" s="266"/>
      <c r="N207" s="266"/>
      <c r="O207" s="172"/>
    </row>
    <row r="208" spans="1:23" s="9" customFormat="1" x14ac:dyDescent="0.2">
      <c r="A208" s="277"/>
      <c r="B208" s="274" t="s">
        <v>360</v>
      </c>
      <c r="C208" s="266"/>
      <c r="D208" s="266"/>
      <c r="E208" s="266"/>
      <c r="F208" s="266"/>
      <c r="G208" s="266"/>
      <c r="H208" s="266"/>
      <c r="I208" s="266"/>
      <c r="J208" s="266"/>
      <c r="K208" s="266"/>
      <c r="L208" s="266"/>
      <c r="M208" s="266"/>
      <c r="N208" s="266"/>
      <c r="O208" s="172"/>
      <c r="P208" s="10"/>
      <c r="Q208" s="10"/>
      <c r="R208" s="10"/>
      <c r="S208" s="10"/>
      <c r="T208" s="10"/>
      <c r="U208" s="10"/>
      <c r="V208" s="10"/>
      <c r="W208" s="10"/>
    </row>
  </sheetData>
  <sheetProtection algorithmName="SHA-512" hashValue="m7BqToKnfeh6L1Yc/1G3t0JJoK7V51gXtaG22Ob45bDLfLEBnhl0FeU0UpcPA+UekW+PcYccicEA5RvQB/vwDQ==" saltValue="dVK2zcGMT0Z9dNy40laOsw==" spinCount="100000" sheet="1" objects="1" scenarios="1" selectLockedCells="1"/>
  <mergeCells count="361">
    <mergeCell ref="B206:N206"/>
    <mergeCell ref="B207:N207"/>
    <mergeCell ref="B208:N208"/>
    <mergeCell ref="H187:I187"/>
    <mergeCell ref="J187:N187"/>
    <mergeCell ref="O169:O208"/>
    <mergeCell ref="B170:N170"/>
    <mergeCell ref="A169:A208"/>
    <mergeCell ref="B169:N169"/>
    <mergeCell ref="B173:N173"/>
    <mergeCell ref="K201:N201"/>
    <mergeCell ref="K204:N204"/>
    <mergeCell ref="K205:N205"/>
    <mergeCell ref="B204:J204"/>
    <mergeCell ref="B205:J205"/>
    <mergeCell ref="B196:N196"/>
    <mergeCell ref="B200:N200"/>
    <mergeCell ref="B201:I201"/>
    <mergeCell ref="B202:N202"/>
    <mergeCell ref="B203:N203"/>
    <mergeCell ref="B176:F176"/>
    <mergeCell ref="G176:J176"/>
    <mergeCell ref="F191:I191"/>
    <mergeCell ref="J191:L191"/>
    <mergeCell ref="E139:F139"/>
    <mergeCell ref="H139:I139"/>
    <mergeCell ref="D197:I197"/>
    <mergeCell ref="D198:I198"/>
    <mergeCell ref="D199:I199"/>
    <mergeCell ref="F193:H193"/>
    <mergeCell ref="M191:N191"/>
    <mergeCell ref="D187:G187"/>
    <mergeCell ref="B171:N172"/>
    <mergeCell ref="B174:N174"/>
    <mergeCell ref="B177:N177"/>
    <mergeCell ref="B186:N186"/>
    <mergeCell ref="I189:N189"/>
    <mergeCell ref="F189:H189"/>
    <mergeCell ref="B188:N188"/>
    <mergeCell ref="B190:N190"/>
    <mergeCell ref="B192:N192"/>
    <mergeCell ref="I193:N193"/>
    <mergeCell ref="B194:N194"/>
    <mergeCell ref="K195:N195"/>
    <mergeCell ref="K197:N197"/>
    <mergeCell ref="K198:N198"/>
    <mergeCell ref="K199:N199"/>
    <mergeCell ref="B195:J195"/>
    <mergeCell ref="B191:E191"/>
    <mergeCell ref="B179:N179"/>
    <mergeCell ref="B181:N181"/>
    <mergeCell ref="B182:F182"/>
    <mergeCell ref="B183:F183"/>
    <mergeCell ref="G182:J182"/>
    <mergeCell ref="G183:J183"/>
    <mergeCell ref="K182:N182"/>
    <mergeCell ref="K183:N183"/>
    <mergeCell ref="B180:N180"/>
    <mergeCell ref="I184:N184"/>
    <mergeCell ref="I185:N185"/>
    <mergeCell ref="B184:H184"/>
    <mergeCell ref="B185:H185"/>
    <mergeCell ref="B178:N178"/>
    <mergeCell ref="B175:F175"/>
    <mergeCell ref="G175:J175"/>
    <mergeCell ref="K175:N175"/>
    <mergeCell ref="K176:N176"/>
    <mergeCell ref="E13:F13"/>
    <mergeCell ref="I13:J13"/>
    <mergeCell ref="G13:H13"/>
    <mergeCell ref="K13:L13"/>
    <mergeCell ref="M13:N13"/>
    <mergeCell ref="K139:N139"/>
    <mergeCell ref="B109:F109"/>
    <mergeCell ref="B119:N119"/>
    <mergeCell ref="B91:N91"/>
    <mergeCell ref="B80:N80"/>
    <mergeCell ref="J46:N56"/>
    <mergeCell ref="J71:N79"/>
    <mergeCell ref="B117:N117"/>
    <mergeCell ref="B108:F108"/>
    <mergeCell ref="K104:M104"/>
    <mergeCell ref="K105:M105"/>
    <mergeCell ref="H109:K109"/>
    <mergeCell ref="M109:N109"/>
    <mergeCell ref="M108:N108"/>
    <mergeCell ref="AO66:AO67"/>
    <mergeCell ref="X66:X67"/>
    <mergeCell ref="Y66:Y67"/>
    <mergeCell ref="B110:N112"/>
    <mergeCell ref="E3:G3"/>
    <mergeCell ref="B4:D4"/>
    <mergeCell ref="B3:D3"/>
    <mergeCell ref="I3:N3"/>
    <mergeCell ref="L4:N4"/>
    <mergeCell ref="I4:J4"/>
    <mergeCell ref="E4:G4"/>
    <mergeCell ref="J93:N98"/>
    <mergeCell ref="J99:N102"/>
    <mergeCell ref="J82:N90"/>
    <mergeCell ref="B36:N36"/>
    <mergeCell ref="B30:N30"/>
    <mergeCell ref="B44:N44"/>
    <mergeCell ref="J32:N35"/>
    <mergeCell ref="J38:N43"/>
    <mergeCell ref="B25:N25"/>
    <mergeCell ref="B16:N16"/>
    <mergeCell ref="B15:N15"/>
    <mergeCell ref="J18:N24"/>
    <mergeCell ref="B14:N14"/>
    <mergeCell ref="AF66:AF67"/>
    <mergeCell ref="AQ58:AQ59"/>
    <mergeCell ref="AR58:AR59"/>
    <mergeCell ref="AY66:AY67"/>
    <mergeCell ref="J27:N29"/>
    <mergeCell ref="J59:N65"/>
    <mergeCell ref="J67:N69"/>
    <mergeCell ref="AP66:AP67"/>
    <mergeCell ref="AQ66:AQ67"/>
    <mergeCell ref="AR66:AR67"/>
    <mergeCell ref="AS66:AS67"/>
    <mergeCell ref="AT66:AT67"/>
    <mergeCell ref="AU66:AU67"/>
    <mergeCell ref="AV66:AV67"/>
    <mergeCell ref="AW66:AW67"/>
    <mergeCell ref="AX66:AX67"/>
    <mergeCell ref="AG66:AG67"/>
    <mergeCell ref="AH66:AH67"/>
    <mergeCell ref="AI66:AI67"/>
    <mergeCell ref="AJ66:AJ67"/>
    <mergeCell ref="AK66:AK67"/>
    <mergeCell ref="AL66:AL67"/>
    <mergeCell ref="AM66:AM67"/>
    <mergeCell ref="AN66:AN67"/>
    <mergeCell ref="AF58:AF59"/>
    <mergeCell ref="AS58:AS59"/>
    <mergeCell ref="AT58:AT59"/>
    <mergeCell ref="AU58:AU59"/>
    <mergeCell ref="AV58:AV59"/>
    <mergeCell ref="AW58:AW59"/>
    <mergeCell ref="AX58:AX59"/>
    <mergeCell ref="AY58:AY59"/>
    <mergeCell ref="AH58:AH59"/>
    <mergeCell ref="AI58:AI59"/>
    <mergeCell ref="AJ58:AJ59"/>
    <mergeCell ref="AK58:AK59"/>
    <mergeCell ref="AL58:AL59"/>
    <mergeCell ref="AM58:AM59"/>
    <mergeCell ref="AN58:AN59"/>
    <mergeCell ref="AO58:AO59"/>
    <mergeCell ref="AP58:AP59"/>
    <mergeCell ref="AG58:AG59"/>
    <mergeCell ref="X58:X59"/>
    <mergeCell ref="Y58:Y59"/>
    <mergeCell ref="Z58:Z59"/>
    <mergeCell ref="AA58:AA59"/>
    <mergeCell ref="AB58:AB59"/>
    <mergeCell ref="AC58:AC59"/>
    <mergeCell ref="AD58:AD59"/>
    <mergeCell ref="AE58:AE59"/>
    <mergeCell ref="Z66:Z67"/>
    <mergeCell ref="AA66:AA67"/>
    <mergeCell ref="AB66:AB67"/>
    <mergeCell ref="AC66:AC67"/>
    <mergeCell ref="AD66:AD67"/>
    <mergeCell ref="AE66:AE67"/>
    <mergeCell ref="H108:K108"/>
    <mergeCell ref="AU44:AY44"/>
    <mergeCell ref="AY45:AY46"/>
    <mergeCell ref="AS45:AS46"/>
    <mergeCell ref="AC69:AO69"/>
    <mergeCell ref="V44:V45"/>
    <mergeCell ref="W44:W45"/>
    <mergeCell ref="X45:X46"/>
    <mergeCell ref="AP45:AP46"/>
    <mergeCell ref="AN45:AN46"/>
    <mergeCell ref="AO45:AO46"/>
    <mergeCell ref="AF45:AF46"/>
    <mergeCell ref="AF44:AT44"/>
    <mergeCell ref="AC45:AC46"/>
    <mergeCell ref="AE45:AE46"/>
    <mergeCell ref="AM45:AM46"/>
    <mergeCell ref="AA45:AA46"/>
    <mergeCell ref="AB45:AB46"/>
    <mergeCell ref="U44:U45"/>
    <mergeCell ref="Q68:W68"/>
    <mergeCell ref="Q57:Q58"/>
    <mergeCell ref="R57:R58"/>
    <mergeCell ref="S57:S58"/>
    <mergeCell ref="T57:T58"/>
    <mergeCell ref="Q43:T43"/>
    <mergeCell ref="AD44:AE44"/>
    <mergeCell ref="S44:S45"/>
    <mergeCell ref="T44:T45"/>
    <mergeCell ref="BH69:BL69"/>
    <mergeCell ref="AT70:AT71"/>
    <mergeCell ref="AT45:AT46"/>
    <mergeCell ref="Y45:Y46"/>
    <mergeCell ref="BL70:BL71"/>
    <mergeCell ref="BK70:BK71"/>
    <mergeCell ref="AX70:AX71"/>
    <mergeCell ref="AV70:AV71"/>
    <mergeCell ref="AY70:AY71"/>
    <mergeCell ref="BB70:BB71"/>
    <mergeCell ref="BD70:BD71"/>
    <mergeCell ref="BE70:BE71"/>
    <mergeCell ref="BI70:BI71"/>
    <mergeCell ref="BJ70:BJ71"/>
    <mergeCell ref="AL70:AL71"/>
    <mergeCell ref="AP70:AP71"/>
    <mergeCell ref="AS70:AS71"/>
    <mergeCell ref="AM70:AM71"/>
    <mergeCell ref="AQ70:AQ71"/>
    <mergeCell ref="AP69:BG69"/>
    <mergeCell ref="P69:P70"/>
    <mergeCell ref="V69:V70"/>
    <mergeCell ref="U69:U70"/>
    <mergeCell ref="AE70:AE71"/>
    <mergeCell ref="AH70:AH71"/>
    <mergeCell ref="Y70:Y71"/>
    <mergeCell ref="AB70:AB71"/>
    <mergeCell ref="AF70:AF71"/>
    <mergeCell ref="AG70:AG71"/>
    <mergeCell ref="AC70:AC71"/>
    <mergeCell ref="W69:W70"/>
    <mergeCell ref="AA70:AA71"/>
    <mergeCell ref="Z70:Z71"/>
    <mergeCell ref="AD70:AD71"/>
    <mergeCell ref="V57:V58"/>
    <mergeCell ref="W57:W58"/>
    <mergeCell ref="Q65:Q66"/>
    <mergeCell ref="R65:R66"/>
    <mergeCell ref="S65:S66"/>
    <mergeCell ref="T65:T66"/>
    <mergeCell ref="U65:U66"/>
    <mergeCell ref="V65:V66"/>
    <mergeCell ref="W65:W66"/>
    <mergeCell ref="BH70:BH71"/>
    <mergeCell ref="BF70:BF71"/>
    <mergeCell ref="BG70:BG71"/>
    <mergeCell ref="BA70:BA71"/>
    <mergeCell ref="Q80:Q81"/>
    <mergeCell ref="AV45:AV46"/>
    <mergeCell ref="AW45:AW46"/>
    <mergeCell ref="AX45:AX46"/>
    <mergeCell ref="AG45:AG46"/>
    <mergeCell ref="AR45:AR46"/>
    <mergeCell ref="AQ45:AQ46"/>
    <mergeCell ref="AD45:AD46"/>
    <mergeCell ref="AJ45:AJ46"/>
    <mergeCell ref="AI45:AI46"/>
    <mergeCell ref="AH45:AH46"/>
    <mergeCell ref="AK45:AK46"/>
    <mergeCell ref="AL45:AL46"/>
    <mergeCell ref="AO70:AO71"/>
    <mergeCell ref="AZ70:AZ71"/>
    <mergeCell ref="AW70:AW71"/>
    <mergeCell ref="AN70:AN71"/>
    <mergeCell ref="AR70:AR71"/>
    <mergeCell ref="BC70:BC71"/>
    <mergeCell ref="Q44:Q45"/>
    <mergeCell ref="R44:R45"/>
    <mergeCell ref="E8:F8"/>
    <mergeCell ref="AU45:AU46"/>
    <mergeCell ref="E9:F9"/>
    <mergeCell ref="P90:P91"/>
    <mergeCell ref="AI70:AI71"/>
    <mergeCell ref="AJ70:AJ71"/>
    <mergeCell ref="AK70:AK71"/>
    <mergeCell ref="U80:U81"/>
    <mergeCell ref="V80:V81"/>
    <mergeCell ref="X70:X71"/>
    <mergeCell ref="Q69:Q70"/>
    <mergeCell ref="R69:R70"/>
    <mergeCell ref="R80:R81"/>
    <mergeCell ref="W80:W81"/>
    <mergeCell ref="S80:S81"/>
    <mergeCell ref="T80:T81"/>
    <mergeCell ref="Q79:T79"/>
    <mergeCell ref="S69:S70"/>
    <mergeCell ref="T69:T70"/>
    <mergeCell ref="X81:X82"/>
    <mergeCell ref="AU70:AU71"/>
    <mergeCell ref="Z45:Z46"/>
    <mergeCell ref="U57:U58"/>
    <mergeCell ref="E135:N135"/>
    <mergeCell ref="B133:N133"/>
    <mergeCell ref="E134:I134"/>
    <mergeCell ref="B1:N1"/>
    <mergeCell ref="E10:F10"/>
    <mergeCell ref="E11:F11"/>
    <mergeCell ref="E12:F12"/>
    <mergeCell ref="G7:H7"/>
    <mergeCell ref="G8:H8"/>
    <mergeCell ref="G9:H9"/>
    <mergeCell ref="G10:H10"/>
    <mergeCell ref="G11:H11"/>
    <mergeCell ref="G12:H12"/>
    <mergeCell ref="B5:N5"/>
    <mergeCell ref="E7:F7"/>
    <mergeCell ref="B2:N2"/>
    <mergeCell ref="B6:N6"/>
    <mergeCell ref="M9:N9"/>
    <mergeCell ref="M10:N10"/>
    <mergeCell ref="M11:N11"/>
    <mergeCell ref="M12:N12"/>
    <mergeCell ref="I12:J12"/>
    <mergeCell ref="M7:N7"/>
    <mergeCell ref="M8:N8"/>
    <mergeCell ref="B131:N131"/>
    <mergeCell ref="B115:N115"/>
    <mergeCell ref="B121:N121"/>
    <mergeCell ref="B122:N122"/>
    <mergeCell ref="B123:N123"/>
    <mergeCell ref="B124:N124"/>
    <mergeCell ref="B127:N127"/>
    <mergeCell ref="B120:N120"/>
    <mergeCell ref="B132:N132"/>
    <mergeCell ref="B130:N130"/>
    <mergeCell ref="B118:N118"/>
    <mergeCell ref="B128:N128"/>
    <mergeCell ref="B129:N129"/>
    <mergeCell ref="B125:N125"/>
    <mergeCell ref="B126:N126"/>
    <mergeCell ref="B168:N168"/>
    <mergeCell ref="J167:N167"/>
    <mergeCell ref="E167:H167"/>
    <mergeCell ref="B143:N143"/>
    <mergeCell ref="B144:N144"/>
    <mergeCell ref="B145:N145"/>
    <mergeCell ref="B146:N146"/>
    <mergeCell ref="B141:N142"/>
    <mergeCell ref="B140:N140"/>
    <mergeCell ref="B151:N151"/>
    <mergeCell ref="B148:N148"/>
    <mergeCell ref="B149:N149"/>
    <mergeCell ref="B150:N150"/>
    <mergeCell ref="K134:N134"/>
    <mergeCell ref="E136:F136"/>
    <mergeCell ref="H136:I136"/>
    <mergeCell ref="J165:N165"/>
    <mergeCell ref="E165:H165"/>
    <mergeCell ref="K136:N136"/>
    <mergeCell ref="E137:F137"/>
    <mergeCell ref="H137:I137"/>
    <mergeCell ref="K137:N137"/>
    <mergeCell ref="K138:N138"/>
    <mergeCell ref="H138:I138"/>
    <mergeCell ref="E138:F138"/>
    <mergeCell ref="B159:N159"/>
    <mergeCell ref="B152:N152"/>
    <mergeCell ref="B153:N153"/>
    <mergeCell ref="B154:N154"/>
    <mergeCell ref="B147:N147"/>
    <mergeCell ref="B160:D160"/>
    <mergeCell ref="K160:M160"/>
    <mergeCell ref="E160:G160"/>
    <mergeCell ref="B155:N155"/>
    <mergeCell ref="B156:N156"/>
    <mergeCell ref="B158:N158"/>
    <mergeCell ref="B157:N157"/>
  </mergeCells>
  <phoneticPr fontId="2" type="noConversion"/>
  <printOptions horizontalCentered="1"/>
  <pageMargins left="0.47244094488188981" right="0.47244094488188981" top="1.1811023622047245" bottom="0.47244094488188981" header="0.31496062992125984" footer="0.15748031496062992"/>
  <pageSetup scale="93" fitToHeight="5" orientation="portrait" r:id="rId1"/>
  <headerFooter alignWithMargins="0">
    <oddHeader>&amp;L&amp;G&amp;R&amp;"Arial,Bold"&amp;12 &amp;16WINTERIZING WORKSHEET&amp;12
LAND STORAGE 2022</oddHeader>
    <oddFooter>&amp;C&amp;"Tahoma,Regular"p 705.327.9741 | cratesboats.com | f 705.327.7036&amp;"Arial,Regular"
&amp;"Tahoma,Regular"&amp;8(c) 2022 Crate's Lake Country Boats Inc.&amp;R&amp;7P &amp;P of &amp;N</oddFooter>
  </headerFooter>
  <rowBreaks count="4" manualBreakCount="4">
    <brk id="57" max="14" man="1"/>
    <brk id="112" max="14" man="1"/>
    <brk id="132" max="14" man="1"/>
    <brk id="168" max="14"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xdr:col>
                    <xdr:colOff>0</xdr:colOff>
                    <xdr:row>16</xdr:row>
                    <xdr:rowOff>133350</xdr:rowOff>
                  </from>
                  <to>
                    <xdr:col>3</xdr:col>
                    <xdr:colOff>114300</xdr:colOff>
                    <xdr:row>18</xdr:row>
                    <xdr:rowOff>19050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1</xdr:col>
                    <xdr:colOff>0</xdr:colOff>
                    <xdr:row>17</xdr:row>
                    <xdr:rowOff>133350</xdr:rowOff>
                  </from>
                  <to>
                    <xdr:col>3</xdr:col>
                    <xdr:colOff>114300</xdr:colOff>
                    <xdr:row>20</xdr:row>
                    <xdr:rowOff>19050</xdr:rowOff>
                  </to>
                </anchor>
              </controlPr>
            </control>
          </mc:Choice>
        </mc:AlternateContent>
        <mc:AlternateContent xmlns:mc="http://schemas.openxmlformats.org/markup-compatibility/2006">
          <mc:Choice Requires="x14">
            <control shapeId="1041" r:id="rId7" name="Check Box 17">
              <controlPr defaultSize="0" autoFill="0" autoLine="0" autoPict="0">
                <anchor moveWithCells="1">
                  <from>
                    <xdr:col>1</xdr:col>
                    <xdr:colOff>0</xdr:colOff>
                    <xdr:row>21</xdr:row>
                    <xdr:rowOff>133350</xdr:rowOff>
                  </from>
                  <to>
                    <xdr:col>3</xdr:col>
                    <xdr:colOff>114300</xdr:colOff>
                    <xdr:row>23</xdr:row>
                    <xdr:rowOff>28575</xdr:rowOff>
                  </to>
                </anchor>
              </controlPr>
            </control>
          </mc:Choice>
        </mc:AlternateContent>
        <mc:AlternateContent xmlns:mc="http://schemas.openxmlformats.org/markup-compatibility/2006">
          <mc:Choice Requires="x14">
            <control shapeId="1042" r:id="rId8" name="Check Box 18">
              <controlPr defaultSize="0" autoFill="0" autoLine="0" autoPict="0">
                <anchor moveWithCells="1">
                  <from>
                    <xdr:col>1</xdr:col>
                    <xdr:colOff>0</xdr:colOff>
                    <xdr:row>22</xdr:row>
                    <xdr:rowOff>133350</xdr:rowOff>
                  </from>
                  <to>
                    <xdr:col>3</xdr:col>
                    <xdr:colOff>114300</xdr:colOff>
                    <xdr:row>24</xdr:row>
                    <xdr:rowOff>28575</xdr:rowOff>
                  </to>
                </anchor>
              </controlPr>
            </control>
          </mc:Choice>
        </mc:AlternateContent>
        <mc:AlternateContent xmlns:mc="http://schemas.openxmlformats.org/markup-compatibility/2006">
          <mc:Choice Requires="x14">
            <control shapeId="1043" r:id="rId9" name="Check Box 19">
              <controlPr defaultSize="0" autoFill="0" autoLine="0" autoPict="0">
                <anchor moveWithCells="1">
                  <from>
                    <xdr:col>1</xdr:col>
                    <xdr:colOff>0</xdr:colOff>
                    <xdr:row>17</xdr:row>
                    <xdr:rowOff>133350</xdr:rowOff>
                  </from>
                  <to>
                    <xdr:col>3</xdr:col>
                    <xdr:colOff>114300</xdr:colOff>
                    <xdr:row>20</xdr:row>
                    <xdr:rowOff>19050</xdr:rowOff>
                  </to>
                </anchor>
              </controlPr>
            </control>
          </mc:Choice>
        </mc:AlternateContent>
        <mc:AlternateContent xmlns:mc="http://schemas.openxmlformats.org/markup-compatibility/2006">
          <mc:Choice Requires="x14">
            <control shapeId="1047" r:id="rId10" name="Check Box 23">
              <controlPr defaultSize="0" autoFill="0" autoLine="0" autoPict="0">
                <anchor moveWithCells="1">
                  <from>
                    <xdr:col>1</xdr:col>
                    <xdr:colOff>0</xdr:colOff>
                    <xdr:row>21</xdr:row>
                    <xdr:rowOff>133350</xdr:rowOff>
                  </from>
                  <to>
                    <xdr:col>3</xdr:col>
                    <xdr:colOff>114300</xdr:colOff>
                    <xdr:row>23</xdr:row>
                    <xdr:rowOff>28575</xdr:rowOff>
                  </to>
                </anchor>
              </controlPr>
            </control>
          </mc:Choice>
        </mc:AlternateContent>
        <mc:AlternateContent xmlns:mc="http://schemas.openxmlformats.org/markup-compatibility/2006">
          <mc:Choice Requires="x14">
            <control shapeId="1048" r:id="rId11" name="Check Box 24">
              <controlPr defaultSize="0" autoFill="0" autoLine="0" autoPict="0">
                <anchor moveWithCells="1">
                  <from>
                    <xdr:col>1</xdr:col>
                    <xdr:colOff>0</xdr:colOff>
                    <xdr:row>22</xdr:row>
                    <xdr:rowOff>133350</xdr:rowOff>
                  </from>
                  <to>
                    <xdr:col>3</xdr:col>
                    <xdr:colOff>114300</xdr:colOff>
                    <xdr:row>24</xdr:row>
                    <xdr:rowOff>28575</xdr:rowOff>
                  </to>
                </anchor>
              </controlPr>
            </control>
          </mc:Choice>
        </mc:AlternateContent>
        <mc:AlternateContent xmlns:mc="http://schemas.openxmlformats.org/markup-compatibility/2006">
          <mc:Choice Requires="x14">
            <control shapeId="1049" r:id="rId12" name="Check Box 25">
              <controlPr defaultSize="0" autoFill="0" autoLine="0" autoPict="0">
                <anchor moveWithCells="1">
                  <from>
                    <xdr:col>1</xdr:col>
                    <xdr:colOff>0</xdr:colOff>
                    <xdr:row>17</xdr:row>
                    <xdr:rowOff>133350</xdr:rowOff>
                  </from>
                  <to>
                    <xdr:col>3</xdr:col>
                    <xdr:colOff>114300</xdr:colOff>
                    <xdr:row>20</xdr:row>
                    <xdr:rowOff>19050</xdr:rowOff>
                  </to>
                </anchor>
              </controlPr>
            </control>
          </mc:Choice>
        </mc:AlternateContent>
        <mc:AlternateContent xmlns:mc="http://schemas.openxmlformats.org/markup-compatibility/2006">
          <mc:Choice Requires="x14">
            <control shapeId="1051" r:id="rId13" name="Check Box 27">
              <controlPr defaultSize="0" autoFill="0" autoLine="0" autoPict="0">
                <anchor moveWithCells="1">
                  <from>
                    <xdr:col>1</xdr:col>
                    <xdr:colOff>0</xdr:colOff>
                    <xdr:row>18</xdr:row>
                    <xdr:rowOff>123825</xdr:rowOff>
                  </from>
                  <to>
                    <xdr:col>3</xdr:col>
                    <xdr:colOff>114300</xdr:colOff>
                    <xdr:row>21</xdr:row>
                    <xdr:rowOff>19050</xdr:rowOff>
                  </to>
                </anchor>
              </controlPr>
            </control>
          </mc:Choice>
        </mc:AlternateContent>
        <mc:AlternateContent xmlns:mc="http://schemas.openxmlformats.org/markup-compatibility/2006">
          <mc:Choice Requires="x14">
            <control shapeId="1052" r:id="rId14" name="Check Box 28">
              <controlPr defaultSize="0" autoFill="0" autoLine="0" autoPict="0">
                <anchor moveWithCells="1">
                  <from>
                    <xdr:col>1</xdr:col>
                    <xdr:colOff>0</xdr:colOff>
                    <xdr:row>20</xdr:row>
                    <xdr:rowOff>123825</xdr:rowOff>
                  </from>
                  <to>
                    <xdr:col>3</xdr:col>
                    <xdr:colOff>114300</xdr:colOff>
                    <xdr:row>22</xdr:row>
                    <xdr:rowOff>19050</xdr:rowOff>
                  </to>
                </anchor>
              </controlPr>
            </control>
          </mc:Choice>
        </mc:AlternateContent>
        <mc:AlternateContent xmlns:mc="http://schemas.openxmlformats.org/markup-compatibility/2006">
          <mc:Choice Requires="x14">
            <control shapeId="1053" r:id="rId15" name="Check Box 29">
              <controlPr defaultSize="0" autoFill="0" autoLine="0" autoPict="0">
                <anchor moveWithCells="1">
                  <from>
                    <xdr:col>1</xdr:col>
                    <xdr:colOff>0</xdr:colOff>
                    <xdr:row>21</xdr:row>
                    <xdr:rowOff>133350</xdr:rowOff>
                  </from>
                  <to>
                    <xdr:col>3</xdr:col>
                    <xdr:colOff>114300</xdr:colOff>
                    <xdr:row>23</xdr:row>
                    <xdr:rowOff>28575</xdr:rowOff>
                  </to>
                </anchor>
              </controlPr>
            </control>
          </mc:Choice>
        </mc:AlternateContent>
        <mc:AlternateContent xmlns:mc="http://schemas.openxmlformats.org/markup-compatibility/2006">
          <mc:Choice Requires="x14">
            <control shapeId="1054" r:id="rId16" name="Check Box 30">
              <controlPr defaultSize="0" autoFill="0" autoLine="0" autoPict="0">
                <anchor moveWithCells="1">
                  <from>
                    <xdr:col>1</xdr:col>
                    <xdr:colOff>0</xdr:colOff>
                    <xdr:row>22</xdr:row>
                    <xdr:rowOff>133350</xdr:rowOff>
                  </from>
                  <to>
                    <xdr:col>3</xdr:col>
                    <xdr:colOff>114300</xdr:colOff>
                    <xdr:row>24</xdr:row>
                    <xdr:rowOff>28575</xdr:rowOff>
                  </to>
                </anchor>
              </controlPr>
            </control>
          </mc:Choice>
        </mc:AlternateContent>
        <mc:AlternateContent xmlns:mc="http://schemas.openxmlformats.org/markup-compatibility/2006">
          <mc:Choice Requires="x14">
            <control shapeId="1055" r:id="rId17" name="Check Box 31">
              <controlPr defaultSize="0" autoFill="0" autoLine="0" autoPict="0">
                <anchor moveWithCells="1">
                  <from>
                    <xdr:col>1</xdr:col>
                    <xdr:colOff>0</xdr:colOff>
                    <xdr:row>25</xdr:row>
                    <xdr:rowOff>133350</xdr:rowOff>
                  </from>
                  <to>
                    <xdr:col>3</xdr:col>
                    <xdr:colOff>114300</xdr:colOff>
                    <xdr:row>27</xdr:row>
                    <xdr:rowOff>19050</xdr:rowOff>
                  </to>
                </anchor>
              </controlPr>
            </control>
          </mc:Choice>
        </mc:AlternateContent>
        <mc:AlternateContent xmlns:mc="http://schemas.openxmlformats.org/markup-compatibility/2006">
          <mc:Choice Requires="x14">
            <control shapeId="1056" r:id="rId18" name="Check Box 32">
              <controlPr defaultSize="0" autoFill="0" autoLine="0" autoPict="0">
                <anchor moveWithCells="1">
                  <from>
                    <xdr:col>1</xdr:col>
                    <xdr:colOff>0</xdr:colOff>
                    <xdr:row>26</xdr:row>
                    <xdr:rowOff>133350</xdr:rowOff>
                  </from>
                  <to>
                    <xdr:col>3</xdr:col>
                    <xdr:colOff>114300</xdr:colOff>
                    <xdr:row>28</xdr:row>
                    <xdr:rowOff>19050</xdr:rowOff>
                  </to>
                </anchor>
              </controlPr>
            </control>
          </mc:Choice>
        </mc:AlternateContent>
        <mc:AlternateContent xmlns:mc="http://schemas.openxmlformats.org/markup-compatibility/2006">
          <mc:Choice Requires="x14">
            <control shapeId="1057" r:id="rId19" name="Check Box 33">
              <controlPr defaultSize="0" autoFill="0" autoLine="0" autoPict="0">
                <anchor moveWithCells="1">
                  <from>
                    <xdr:col>1</xdr:col>
                    <xdr:colOff>0</xdr:colOff>
                    <xdr:row>30</xdr:row>
                    <xdr:rowOff>133350</xdr:rowOff>
                  </from>
                  <to>
                    <xdr:col>3</xdr:col>
                    <xdr:colOff>114300</xdr:colOff>
                    <xdr:row>32</xdr:row>
                    <xdr:rowOff>19050</xdr:rowOff>
                  </to>
                </anchor>
              </controlPr>
            </control>
          </mc:Choice>
        </mc:AlternateContent>
        <mc:AlternateContent xmlns:mc="http://schemas.openxmlformats.org/markup-compatibility/2006">
          <mc:Choice Requires="x14">
            <control shapeId="1058" r:id="rId20" name="Check Box 34">
              <controlPr defaultSize="0" autoFill="0" autoLine="0" autoPict="0">
                <anchor moveWithCells="1">
                  <from>
                    <xdr:col>1</xdr:col>
                    <xdr:colOff>0</xdr:colOff>
                    <xdr:row>31</xdr:row>
                    <xdr:rowOff>133350</xdr:rowOff>
                  </from>
                  <to>
                    <xdr:col>3</xdr:col>
                    <xdr:colOff>114300</xdr:colOff>
                    <xdr:row>33</xdr:row>
                    <xdr:rowOff>19050</xdr:rowOff>
                  </to>
                </anchor>
              </controlPr>
            </control>
          </mc:Choice>
        </mc:AlternateContent>
        <mc:AlternateContent xmlns:mc="http://schemas.openxmlformats.org/markup-compatibility/2006">
          <mc:Choice Requires="x14">
            <control shapeId="1059" r:id="rId21" name="Check Box 35">
              <controlPr defaultSize="0" autoFill="0" autoLine="0" autoPict="0">
                <anchor moveWithCells="1">
                  <from>
                    <xdr:col>1</xdr:col>
                    <xdr:colOff>0</xdr:colOff>
                    <xdr:row>32</xdr:row>
                    <xdr:rowOff>133350</xdr:rowOff>
                  </from>
                  <to>
                    <xdr:col>3</xdr:col>
                    <xdr:colOff>114300</xdr:colOff>
                    <xdr:row>34</xdr:row>
                    <xdr:rowOff>28575</xdr:rowOff>
                  </to>
                </anchor>
              </controlPr>
            </control>
          </mc:Choice>
        </mc:AlternateContent>
        <mc:AlternateContent xmlns:mc="http://schemas.openxmlformats.org/markup-compatibility/2006">
          <mc:Choice Requires="x14">
            <control shapeId="1060" r:id="rId22" name="Check Box 36">
              <controlPr defaultSize="0" autoFill="0" autoLine="0" autoPict="0">
                <anchor moveWithCells="1">
                  <from>
                    <xdr:col>1</xdr:col>
                    <xdr:colOff>0</xdr:colOff>
                    <xdr:row>33</xdr:row>
                    <xdr:rowOff>133350</xdr:rowOff>
                  </from>
                  <to>
                    <xdr:col>3</xdr:col>
                    <xdr:colOff>114300</xdr:colOff>
                    <xdr:row>35</xdr:row>
                    <xdr:rowOff>28575</xdr:rowOff>
                  </to>
                </anchor>
              </controlPr>
            </control>
          </mc:Choice>
        </mc:AlternateContent>
        <mc:AlternateContent xmlns:mc="http://schemas.openxmlformats.org/markup-compatibility/2006">
          <mc:Choice Requires="x14">
            <control shapeId="1064" r:id="rId23" name="Check Box 40">
              <controlPr defaultSize="0" autoFill="0" autoLine="0" autoPict="0">
                <anchor moveWithCells="1">
                  <from>
                    <xdr:col>1</xdr:col>
                    <xdr:colOff>0</xdr:colOff>
                    <xdr:row>36</xdr:row>
                    <xdr:rowOff>133350</xdr:rowOff>
                  </from>
                  <to>
                    <xdr:col>3</xdr:col>
                    <xdr:colOff>114300</xdr:colOff>
                    <xdr:row>38</xdr:row>
                    <xdr:rowOff>19050</xdr:rowOff>
                  </to>
                </anchor>
              </controlPr>
            </control>
          </mc:Choice>
        </mc:AlternateContent>
        <mc:AlternateContent xmlns:mc="http://schemas.openxmlformats.org/markup-compatibility/2006">
          <mc:Choice Requires="x14">
            <control shapeId="1065" r:id="rId24" name="Check Box 41">
              <controlPr defaultSize="0" autoFill="0" autoLine="0" autoPict="0">
                <anchor moveWithCells="1">
                  <from>
                    <xdr:col>1</xdr:col>
                    <xdr:colOff>0</xdr:colOff>
                    <xdr:row>37</xdr:row>
                    <xdr:rowOff>133350</xdr:rowOff>
                  </from>
                  <to>
                    <xdr:col>3</xdr:col>
                    <xdr:colOff>114300</xdr:colOff>
                    <xdr:row>39</xdr:row>
                    <xdr:rowOff>19050</xdr:rowOff>
                  </to>
                </anchor>
              </controlPr>
            </control>
          </mc:Choice>
        </mc:AlternateContent>
        <mc:AlternateContent xmlns:mc="http://schemas.openxmlformats.org/markup-compatibility/2006">
          <mc:Choice Requires="x14">
            <control shapeId="1066" r:id="rId25" name="Check Box 42">
              <controlPr defaultSize="0" autoFill="0" autoLine="0" autoPict="0">
                <anchor moveWithCells="1">
                  <from>
                    <xdr:col>1</xdr:col>
                    <xdr:colOff>0</xdr:colOff>
                    <xdr:row>38</xdr:row>
                    <xdr:rowOff>133350</xdr:rowOff>
                  </from>
                  <to>
                    <xdr:col>3</xdr:col>
                    <xdr:colOff>114300</xdr:colOff>
                    <xdr:row>40</xdr:row>
                    <xdr:rowOff>28575</xdr:rowOff>
                  </to>
                </anchor>
              </controlPr>
            </control>
          </mc:Choice>
        </mc:AlternateContent>
        <mc:AlternateContent xmlns:mc="http://schemas.openxmlformats.org/markup-compatibility/2006">
          <mc:Choice Requires="x14">
            <control shapeId="1067" r:id="rId26" name="Check Box 43">
              <controlPr defaultSize="0" autoFill="0" autoLine="0" autoPict="0">
                <anchor moveWithCells="1">
                  <from>
                    <xdr:col>1</xdr:col>
                    <xdr:colOff>0</xdr:colOff>
                    <xdr:row>39</xdr:row>
                    <xdr:rowOff>133350</xdr:rowOff>
                  </from>
                  <to>
                    <xdr:col>3</xdr:col>
                    <xdr:colOff>114300</xdr:colOff>
                    <xdr:row>41</xdr:row>
                    <xdr:rowOff>28575</xdr:rowOff>
                  </to>
                </anchor>
              </controlPr>
            </control>
          </mc:Choice>
        </mc:AlternateContent>
        <mc:AlternateContent xmlns:mc="http://schemas.openxmlformats.org/markup-compatibility/2006">
          <mc:Choice Requires="x14">
            <control shapeId="1068" r:id="rId27" name="Check Box 44">
              <controlPr defaultSize="0" autoFill="0" autoLine="0" autoPict="0">
                <anchor moveWithCells="1">
                  <from>
                    <xdr:col>1</xdr:col>
                    <xdr:colOff>0</xdr:colOff>
                    <xdr:row>40</xdr:row>
                    <xdr:rowOff>133350</xdr:rowOff>
                  </from>
                  <to>
                    <xdr:col>3</xdr:col>
                    <xdr:colOff>114300</xdr:colOff>
                    <xdr:row>42</xdr:row>
                    <xdr:rowOff>28575</xdr:rowOff>
                  </to>
                </anchor>
              </controlPr>
            </control>
          </mc:Choice>
        </mc:AlternateContent>
        <mc:AlternateContent xmlns:mc="http://schemas.openxmlformats.org/markup-compatibility/2006">
          <mc:Choice Requires="x14">
            <control shapeId="1069" r:id="rId28" name="Check Box 45">
              <controlPr defaultSize="0" autoFill="0" autoLine="0" autoPict="0">
                <anchor moveWithCells="1">
                  <from>
                    <xdr:col>1</xdr:col>
                    <xdr:colOff>0</xdr:colOff>
                    <xdr:row>41</xdr:row>
                    <xdr:rowOff>133350</xdr:rowOff>
                  </from>
                  <to>
                    <xdr:col>3</xdr:col>
                    <xdr:colOff>114300</xdr:colOff>
                    <xdr:row>43</xdr:row>
                    <xdr:rowOff>28575</xdr:rowOff>
                  </to>
                </anchor>
              </controlPr>
            </control>
          </mc:Choice>
        </mc:AlternateContent>
        <mc:AlternateContent xmlns:mc="http://schemas.openxmlformats.org/markup-compatibility/2006">
          <mc:Choice Requires="x14">
            <control shapeId="1070" r:id="rId29" name="Check Box 46">
              <controlPr defaultSize="0" autoFill="0" autoLine="0" autoPict="0">
                <anchor moveWithCells="1">
                  <from>
                    <xdr:col>1</xdr:col>
                    <xdr:colOff>0</xdr:colOff>
                    <xdr:row>44</xdr:row>
                    <xdr:rowOff>133350</xdr:rowOff>
                  </from>
                  <to>
                    <xdr:col>3</xdr:col>
                    <xdr:colOff>114300</xdr:colOff>
                    <xdr:row>46</xdr:row>
                    <xdr:rowOff>19050</xdr:rowOff>
                  </to>
                </anchor>
              </controlPr>
            </control>
          </mc:Choice>
        </mc:AlternateContent>
        <mc:AlternateContent xmlns:mc="http://schemas.openxmlformats.org/markup-compatibility/2006">
          <mc:Choice Requires="x14">
            <control shapeId="1071" r:id="rId30" name="Check Box 47">
              <controlPr defaultSize="0" autoFill="0" autoLine="0" autoPict="0">
                <anchor moveWithCells="1">
                  <from>
                    <xdr:col>1</xdr:col>
                    <xdr:colOff>0</xdr:colOff>
                    <xdr:row>45</xdr:row>
                    <xdr:rowOff>133350</xdr:rowOff>
                  </from>
                  <to>
                    <xdr:col>3</xdr:col>
                    <xdr:colOff>114300</xdr:colOff>
                    <xdr:row>47</xdr:row>
                    <xdr:rowOff>19050</xdr:rowOff>
                  </to>
                </anchor>
              </controlPr>
            </control>
          </mc:Choice>
        </mc:AlternateContent>
        <mc:AlternateContent xmlns:mc="http://schemas.openxmlformats.org/markup-compatibility/2006">
          <mc:Choice Requires="x14">
            <control shapeId="1077" r:id="rId31" name="Check Box 53">
              <controlPr defaultSize="0" autoFill="0" autoLine="0" autoPict="0">
                <anchor moveWithCells="1">
                  <from>
                    <xdr:col>1</xdr:col>
                    <xdr:colOff>0</xdr:colOff>
                    <xdr:row>47</xdr:row>
                    <xdr:rowOff>133350</xdr:rowOff>
                  </from>
                  <to>
                    <xdr:col>3</xdr:col>
                    <xdr:colOff>114300</xdr:colOff>
                    <xdr:row>49</xdr:row>
                    <xdr:rowOff>28575</xdr:rowOff>
                  </to>
                </anchor>
              </controlPr>
            </control>
          </mc:Choice>
        </mc:AlternateContent>
        <mc:AlternateContent xmlns:mc="http://schemas.openxmlformats.org/markup-compatibility/2006">
          <mc:Choice Requires="x14">
            <control shapeId="1078" r:id="rId32" name="Check Box 54">
              <controlPr defaultSize="0" autoFill="0" autoLine="0" autoPict="0">
                <anchor moveWithCells="1">
                  <from>
                    <xdr:col>1</xdr:col>
                    <xdr:colOff>0</xdr:colOff>
                    <xdr:row>49</xdr:row>
                    <xdr:rowOff>142875</xdr:rowOff>
                  </from>
                  <to>
                    <xdr:col>3</xdr:col>
                    <xdr:colOff>114300</xdr:colOff>
                    <xdr:row>51</xdr:row>
                    <xdr:rowOff>38100</xdr:rowOff>
                  </to>
                </anchor>
              </controlPr>
            </control>
          </mc:Choice>
        </mc:AlternateContent>
        <mc:AlternateContent xmlns:mc="http://schemas.openxmlformats.org/markup-compatibility/2006">
          <mc:Choice Requires="x14">
            <control shapeId="1079" r:id="rId33" name="Check Box 55">
              <controlPr defaultSize="0" autoFill="0" autoLine="0" autoPict="0">
                <anchor moveWithCells="1">
                  <from>
                    <xdr:col>1</xdr:col>
                    <xdr:colOff>0</xdr:colOff>
                    <xdr:row>50</xdr:row>
                    <xdr:rowOff>133350</xdr:rowOff>
                  </from>
                  <to>
                    <xdr:col>3</xdr:col>
                    <xdr:colOff>114300</xdr:colOff>
                    <xdr:row>52</xdr:row>
                    <xdr:rowOff>28575</xdr:rowOff>
                  </to>
                </anchor>
              </controlPr>
            </control>
          </mc:Choice>
        </mc:AlternateContent>
        <mc:AlternateContent xmlns:mc="http://schemas.openxmlformats.org/markup-compatibility/2006">
          <mc:Choice Requires="x14">
            <control shapeId="1080" r:id="rId34" name="Check Box 56">
              <controlPr defaultSize="0" autoFill="0" autoLine="0" autoPict="0">
                <anchor moveWithCells="1">
                  <from>
                    <xdr:col>1</xdr:col>
                    <xdr:colOff>0</xdr:colOff>
                    <xdr:row>51</xdr:row>
                    <xdr:rowOff>133350</xdr:rowOff>
                  </from>
                  <to>
                    <xdr:col>3</xdr:col>
                    <xdr:colOff>114300</xdr:colOff>
                    <xdr:row>53</xdr:row>
                    <xdr:rowOff>28575</xdr:rowOff>
                  </to>
                </anchor>
              </controlPr>
            </control>
          </mc:Choice>
        </mc:AlternateContent>
        <mc:AlternateContent xmlns:mc="http://schemas.openxmlformats.org/markup-compatibility/2006">
          <mc:Choice Requires="x14">
            <control shapeId="1081" r:id="rId35" name="Check Box 57">
              <controlPr defaultSize="0" autoFill="0" autoLine="0" autoPict="0">
                <anchor moveWithCells="1">
                  <from>
                    <xdr:col>1</xdr:col>
                    <xdr:colOff>0</xdr:colOff>
                    <xdr:row>53</xdr:row>
                    <xdr:rowOff>133350</xdr:rowOff>
                  </from>
                  <to>
                    <xdr:col>3</xdr:col>
                    <xdr:colOff>114300</xdr:colOff>
                    <xdr:row>55</xdr:row>
                    <xdr:rowOff>28575</xdr:rowOff>
                  </to>
                </anchor>
              </controlPr>
            </control>
          </mc:Choice>
        </mc:AlternateContent>
        <mc:AlternateContent xmlns:mc="http://schemas.openxmlformats.org/markup-compatibility/2006">
          <mc:Choice Requires="x14">
            <control shapeId="1085" r:id="rId36" name="Check Box 61">
              <controlPr defaultSize="0" autoFill="0" autoLine="0" autoPict="0">
                <anchor moveWithCells="1">
                  <from>
                    <xdr:col>1</xdr:col>
                    <xdr:colOff>0</xdr:colOff>
                    <xdr:row>46</xdr:row>
                    <xdr:rowOff>142875</xdr:rowOff>
                  </from>
                  <to>
                    <xdr:col>3</xdr:col>
                    <xdr:colOff>114300</xdr:colOff>
                    <xdr:row>48</xdr:row>
                    <xdr:rowOff>38100</xdr:rowOff>
                  </to>
                </anchor>
              </controlPr>
            </control>
          </mc:Choice>
        </mc:AlternateContent>
        <mc:AlternateContent xmlns:mc="http://schemas.openxmlformats.org/markup-compatibility/2006">
          <mc:Choice Requires="x14">
            <control shapeId="1086" r:id="rId37" name="Drop Down 62">
              <controlPr defaultSize="0" print="0" autoLine="0" autoPict="0">
                <anchor moveWithCells="1">
                  <from>
                    <xdr:col>12</xdr:col>
                    <xdr:colOff>0</xdr:colOff>
                    <xdr:row>6</xdr:row>
                    <xdr:rowOff>9525</xdr:rowOff>
                  </from>
                  <to>
                    <xdr:col>13</xdr:col>
                    <xdr:colOff>590550</xdr:colOff>
                    <xdr:row>7</xdr:row>
                    <xdr:rowOff>9525</xdr:rowOff>
                  </to>
                </anchor>
              </controlPr>
            </control>
          </mc:Choice>
        </mc:AlternateContent>
        <mc:AlternateContent xmlns:mc="http://schemas.openxmlformats.org/markup-compatibility/2006">
          <mc:Choice Requires="x14">
            <control shapeId="1087" r:id="rId38" name="Drop Down 63">
              <controlPr defaultSize="0" print="0" autoLine="0" autoPict="0">
                <anchor moveWithCells="1">
                  <from>
                    <xdr:col>12</xdr:col>
                    <xdr:colOff>0</xdr:colOff>
                    <xdr:row>8</xdr:row>
                    <xdr:rowOff>0</xdr:rowOff>
                  </from>
                  <to>
                    <xdr:col>13</xdr:col>
                    <xdr:colOff>590550</xdr:colOff>
                    <xdr:row>9</xdr:row>
                    <xdr:rowOff>0</xdr:rowOff>
                  </to>
                </anchor>
              </controlPr>
            </control>
          </mc:Choice>
        </mc:AlternateContent>
        <mc:AlternateContent xmlns:mc="http://schemas.openxmlformats.org/markup-compatibility/2006">
          <mc:Choice Requires="x14">
            <control shapeId="1088" r:id="rId39" name="Drop Down 64">
              <controlPr defaultSize="0" print="0" autoLine="0" autoPict="0">
                <anchor moveWithCells="1">
                  <from>
                    <xdr:col>8</xdr:col>
                    <xdr:colOff>0</xdr:colOff>
                    <xdr:row>10</xdr:row>
                    <xdr:rowOff>0</xdr:rowOff>
                  </from>
                  <to>
                    <xdr:col>9</xdr:col>
                    <xdr:colOff>533400</xdr:colOff>
                    <xdr:row>11</xdr:row>
                    <xdr:rowOff>0</xdr:rowOff>
                  </to>
                </anchor>
              </controlPr>
            </control>
          </mc:Choice>
        </mc:AlternateContent>
        <mc:AlternateContent xmlns:mc="http://schemas.openxmlformats.org/markup-compatibility/2006">
          <mc:Choice Requires="x14">
            <control shapeId="1090" r:id="rId40" name="Drop Down 66">
              <controlPr defaultSize="0" print="0" autoLine="0" autoPict="0">
                <anchor moveWithCells="1">
                  <from>
                    <xdr:col>12</xdr:col>
                    <xdr:colOff>0</xdr:colOff>
                    <xdr:row>11</xdr:row>
                    <xdr:rowOff>0</xdr:rowOff>
                  </from>
                  <to>
                    <xdr:col>13</xdr:col>
                    <xdr:colOff>590550</xdr:colOff>
                    <xdr:row>12</xdr:row>
                    <xdr:rowOff>0</xdr:rowOff>
                  </to>
                </anchor>
              </controlPr>
            </control>
          </mc:Choice>
        </mc:AlternateContent>
        <mc:AlternateContent xmlns:mc="http://schemas.openxmlformats.org/markup-compatibility/2006">
          <mc:Choice Requires="x14">
            <control shapeId="1091" r:id="rId41" name="Check Box 67">
              <controlPr defaultSize="0" autoFill="0" autoLine="0" autoPict="0">
                <anchor moveWithCells="1">
                  <from>
                    <xdr:col>1</xdr:col>
                    <xdr:colOff>0</xdr:colOff>
                    <xdr:row>69</xdr:row>
                    <xdr:rowOff>133350</xdr:rowOff>
                  </from>
                  <to>
                    <xdr:col>3</xdr:col>
                    <xdr:colOff>114300</xdr:colOff>
                    <xdr:row>71</xdr:row>
                    <xdr:rowOff>19050</xdr:rowOff>
                  </to>
                </anchor>
              </controlPr>
            </control>
          </mc:Choice>
        </mc:AlternateContent>
        <mc:AlternateContent xmlns:mc="http://schemas.openxmlformats.org/markup-compatibility/2006">
          <mc:Choice Requires="x14">
            <control shapeId="1092" r:id="rId42" name="Check Box 68">
              <controlPr defaultSize="0" autoFill="0" autoLine="0" autoPict="0">
                <anchor moveWithCells="1">
                  <from>
                    <xdr:col>1</xdr:col>
                    <xdr:colOff>0</xdr:colOff>
                    <xdr:row>71</xdr:row>
                    <xdr:rowOff>133350</xdr:rowOff>
                  </from>
                  <to>
                    <xdr:col>3</xdr:col>
                    <xdr:colOff>114300</xdr:colOff>
                    <xdr:row>73</xdr:row>
                    <xdr:rowOff>28575</xdr:rowOff>
                  </to>
                </anchor>
              </controlPr>
            </control>
          </mc:Choice>
        </mc:AlternateContent>
        <mc:AlternateContent xmlns:mc="http://schemas.openxmlformats.org/markup-compatibility/2006">
          <mc:Choice Requires="x14">
            <control shapeId="1093" r:id="rId43" name="Check Box 69">
              <controlPr defaultSize="0" autoFill="0" autoLine="0" autoPict="0">
                <anchor moveWithCells="1">
                  <from>
                    <xdr:col>1</xdr:col>
                    <xdr:colOff>0</xdr:colOff>
                    <xdr:row>72</xdr:row>
                    <xdr:rowOff>133350</xdr:rowOff>
                  </from>
                  <to>
                    <xdr:col>3</xdr:col>
                    <xdr:colOff>114300</xdr:colOff>
                    <xdr:row>74</xdr:row>
                    <xdr:rowOff>28575</xdr:rowOff>
                  </to>
                </anchor>
              </controlPr>
            </control>
          </mc:Choice>
        </mc:AlternateContent>
        <mc:AlternateContent xmlns:mc="http://schemas.openxmlformats.org/markup-compatibility/2006">
          <mc:Choice Requires="x14">
            <control shapeId="1094" r:id="rId44" name="Check Box 70">
              <controlPr defaultSize="0" autoFill="0" autoLine="0" autoPict="0">
                <anchor moveWithCells="1">
                  <from>
                    <xdr:col>1</xdr:col>
                    <xdr:colOff>0</xdr:colOff>
                    <xdr:row>74</xdr:row>
                    <xdr:rowOff>133350</xdr:rowOff>
                  </from>
                  <to>
                    <xdr:col>3</xdr:col>
                    <xdr:colOff>114300</xdr:colOff>
                    <xdr:row>76</xdr:row>
                    <xdr:rowOff>28575</xdr:rowOff>
                  </to>
                </anchor>
              </controlPr>
            </control>
          </mc:Choice>
        </mc:AlternateContent>
        <mc:AlternateContent xmlns:mc="http://schemas.openxmlformats.org/markup-compatibility/2006">
          <mc:Choice Requires="x14">
            <control shapeId="1095" r:id="rId45" name="Check Box 71">
              <controlPr defaultSize="0" autoFill="0" autoLine="0" autoPict="0">
                <anchor moveWithCells="1">
                  <from>
                    <xdr:col>1</xdr:col>
                    <xdr:colOff>0</xdr:colOff>
                    <xdr:row>73</xdr:row>
                    <xdr:rowOff>133350</xdr:rowOff>
                  </from>
                  <to>
                    <xdr:col>3</xdr:col>
                    <xdr:colOff>114300</xdr:colOff>
                    <xdr:row>75</xdr:row>
                    <xdr:rowOff>28575</xdr:rowOff>
                  </to>
                </anchor>
              </controlPr>
            </control>
          </mc:Choice>
        </mc:AlternateContent>
        <mc:AlternateContent xmlns:mc="http://schemas.openxmlformats.org/markup-compatibility/2006">
          <mc:Choice Requires="x14">
            <control shapeId="1096" r:id="rId46" name="Check Box 72">
              <controlPr defaultSize="0" autoFill="0" autoLine="0" autoPict="0">
                <anchor moveWithCells="1">
                  <from>
                    <xdr:col>1</xdr:col>
                    <xdr:colOff>0</xdr:colOff>
                    <xdr:row>76</xdr:row>
                    <xdr:rowOff>133350</xdr:rowOff>
                  </from>
                  <to>
                    <xdr:col>3</xdr:col>
                    <xdr:colOff>114300</xdr:colOff>
                    <xdr:row>78</xdr:row>
                    <xdr:rowOff>28575</xdr:rowOff>
                  </to>
                </anchor>
              </controlPr>
            </control>
          </mc:Choice>
        </mc:AlternateContent>
        <mc:AlternateContent xmlns:mc="http://schemas.openxmlformats.org/markup-compatibility/2006">
          <mc:Choice Requires="x14">
            <control shapeId="1097" r:id="rId47" name="Check Box 73">
              <controlPr defaultSize="0" autoFill="0" autoLine="0" autoPict="0">
                <anchor moveWithCells="1">
                  <from>
                    <xdr:col>1</xdr:col>
                    <xdr:colOff>0</xdr:colOff>
                    <xdr:row>75</xdr:row>
                    <xdr:rowOff>133350</xdr:rowOff>
                  </from>
                  <to>
                    <xdr:col>3</xdr:col>
                    <xdr:colOff>114300</xdr:colOff>
                    <xdr:row>77</xdr:row>
                    <xdr:rowOff>28575</xdr:rowOff>
                  </to>
                </anchor>
              </controlPr>
            </control>
          </mc:Choice>
        </mc:AlternateContent>
        <mc:AlternateContent xmlns:mc="http://schemas.openxmlformats.org/markup-compatibility/2006">
          <mc:Choice Requires="x14">
            <control shapeId="1098" r:id="rId48" name="Check Box 74">
              <controlPr defaultSize="0" autoFill="0" autoLine="0" autoPict="0">
                <anchor moveWithCells="1">
                  <from>
                    <xdr:col>1</xdr:col>
                    <xdr:colOff>0</xdr:colOff>
                    <xdr:row>77</xdr:row>
                    <xdr:rowOff>133350</xdr:rowOff>
                  </from>
                  <to>
                    <xdr:col>3</xdr:col>
                    <xdr:colOff>114300</xdr:colOff>
                    <xdr:row>79</xdr:row>
                    <xdr:rowOff>28575</xdr:rowOff>
                  </to>
                </anchor>
              </controlPr>
            </control>
          </mc:Choice>
        </mc:AlternateContent>
        <mc:AlternateContent xmlns:mc="http://schemas.openxmlformats.org/markup-compatibility/2006">
          <mc:Choice Requires="x14">
            <control shapeId="1099" r:id="rId49" name="Check Box 75">
              <controlPr defaultSize="0" autoFill="0" autoLine="0" autoPict="0">
                <anchor moveWithCells="1">
                  <from>
                    <xdr:col>1</xdr:col>
                    <xdr:colOff>0</xdr:colOff>
                    <xdr:row>80</xdr:row>
                    <xdr:rowOff>133350</xdr:rowOff>
                  </from>
                  <to>
                    <xdr:col>3</xdr:col>
                    <xdr:colOff>114300</xdr:colOff>
                    <xdr:row>82</xdr:row>
                    <xdr:rowOff>19050</xdr:rowOff>
                  </to>
                </anchor>
              </controlPr>
            </control>
          </mc:Choice>
        </mc:AlternateContent>
        <mc:AlternateContent xmlns:mc="http://schemas.openxmlformats.org/markup-compatibility/2006">
          <mc:Choice Requires="x14">
            <control shapeId="1100" r:id="rId50" name="Check Box 76">
              <controlPr defaultSize="0" autoFill="0" autoLine="0" autoPict="0">
                <anchor moveWithCells="1">
                  <from>
                    <xdr:col>1</xdr:col>
                    <xdr:colOff>0</xdr:colOff>
                    <xdr:row>81</xdr:row>
                    <xdr:rowOff>133350</xdr:rowOff>
                  </from>
                  <to>
                    <xdr:col>3</xdr:col>
                    <xdr:colOff>114300</xdr:colOff>
                    <xdr:row>83</xdr:row>
                    <xdr:rowOff>19050</xdr:rowOff>
                  </to>
                </anchor>
              </controlPr>
            </control>
          </mc:Choice>
        </mc:AlternateContent>
        <mc:AlternateContent xmlns:mc="http://schemas.openxmlformats.org/markup-compatibility/2006">
          <mc:Choice Requires="x14">
            <control shapeId="1101" r:id="rId51" name="Check Box 77">
              <controlPr defaultSize="0" autoFill="0" autoLine="0" autoPict="0">
                <anchor moveWithCells="1">
                  <from>
                    <xdr:col>1</xdr:col>
                    <xdr:colOff>0</xdr:colOff>
                    <xdr:row>82</xdr:row>
                    <xdr:rowOff>133350</xdr:rowOff>
                  </from>
                  <to>
                    <xdr:col>3</xdr:col>
                    <xdr:colOff>114300</xdr:colOff>
                    <xdr:row>84</xdr:row>
                    <xdr:rowOff>28575</xdr:rowOff>
                  </to>
                </anchor>
              </controlPr>
            </control>
          </mc:Choice>
        </mc:AlternateContent>
        <mc:AlternateContent xmlns:mc="http://schemas.openxmlformats.org/markup-compatibility/2006">
          <mc:Choice Requires="x14">
            <control shapeId="1102" r:id="rId52" name="Check Box 78">
              <controlPr defaultSize="0" autoFill="0" autoLine="0" autoPict="0">
                <anchor moveWithCells="1">
                  <from>
                    <xdr:col>1</xdr:col>
                    <xdr:colOff>0</xdr:colOff>
                    <xdr:row>83</xdr:row>
                    <xdr:rowOff>133350</xdr:rowOff>
                  </from>
                  <to>
                    <xdr:col>3</xdr:col>
                    <xdr:colOff>114300</xdr:colOff>
                    <xdr:row>85</xdr:row>
                    <xdr:rowOff>28575</xdr:rowOff>
                  </to>
                </anchor>
              </controlPr>
            </control>
          </mc:Choice>
        </mc:AlternateContent>
        <mc:AlternateContent xmlns:mc="http://schemas.openxmlformats.org/markup-compatibility/2006">
          <mc:Choice Requires="x14">
            <control shapeId="1103" r:id="rId53" name="Check Box 79">
              <controlPr defaultSize="0" autoFill="0" autoLine="0" autoPict="0">
                <anchor moveWithCells="1">
                  <from>
                    <xdr:col>1</xdr:col>
                    <xdr:colOff>0</xdr:colOff>
                    <xdr:row>87</xdr:row>
                    <xdr:rowOff>142875</xdr:rowOff>
                  </from>
                  <to>
                    <xdr:col>3</xdr:col>
                    <xdr:colOff>114300</xdr:colOff>
                    <xdr:row>89</xdr:row>
                    <xdr:rowOff>38100</xdr:rowOff>
                  </to>
                </anchor>
              </controlPr>
            </control>
          </mc:Choice>
        </mc:AlternateContent>
        <mc:AlternateContent xmlns:mc="http://schemas.openxmlformats.org/markup-compatibility/2006">
          <mc:Choice Requires="x14">
            <control shapeId="1104" r:id="rId54" name="Check Box 80">
              <controlPr defaultSize="0" autoFill="0" autoLine="0" autoPict="0">
                <anchor moveWithCells="1">
                  <from>
                    <xdr:col>1</xdr:col>
                    <xdr:colOff>0</xdr:colOff>
                    <xdr:row>88</xdr:row>
                    <xdr:rowOff>133350</xdr:rowOff>
                  </from>
                  <to>
                    <xdr:col>3</xdr:col>
                    <xdr:colOff>114300</xdr:colOff>
                    <xdr:row>90</xdr:row>
                    <xdr:rowOff>28575</xdr:rowOff>
                  </to>
                </anchor>
              </controlPr>
            </control>
          </mc:Choice>
        </mc:AlternateContent>
        <mc:AlternateContent xmlns:mc="http://schemas.openxmlformats.org/markup-compatibility/2006">
          <mc:Choice Requires="x14">
            <control shapeId="1105" r:id="rId55" name="Check Box 81">
              <controlPr defaultSize="0" autoFill="0" autoLine="0" autoPict="0">
                <anchor moveWithCells="1">
                  <from>
                    <xdr:col>1</xdr:col>
                    <xdr:colOff>0</xdr:colOff>
                    <xdr:row>91</xdr:row>
                    <xdr:rowOff>133350</xdr:rowOff>
                  </from>
                  <to>
                    <xdr:col>3</xdr:col>
                    <xdr:colOff>114300</xdr:colOff>
                    <xdr:row>93</xdr:row>
                    <xdr:rowOff>19050</xdr:rowOff>
                  </to>
                </anchor>
              </controlPr>
            </control>
          </mc:Choice>
        </mc:AlternateContent>
        <mc:AlternateContent xmlns:mc="http://schemas.openxmlformats.org/markup-compatibility/2006">
          <mc:Choice Requires="x14">
            <control shapeId="1106" r:id="rId56" name="Check Box 82">
              <controlPr defaultSize="0" autoFill="0" autoLine="0" autoPict="0">
                <anchor moveWithCells="1">
                  <from>
                    <xdr:col>1</xdr:col>
                    <xdr:colOff>0</xdr:colOff>
                    <xdr:row>92</xdr:row>
                    <xdr:rowOff>133350</xdr:rowOff>
                  </from>
                  <to>
                    <xdr:col>3</xdr:col>
                    <xdr:colOff>114300</xdr:colOff>
                    <xdr:row>94</xdr:row>
                    <xdr:rowOff>19050</xdr:rowOff>
                  </to>
                </anchor>
              </controlPr>
            </control>
          </mc:Choice>
        </mc:AlternateContent>
        <mc:AlternateContent xmlns:mc="http://schemas.openxmlformats.org/markup-compatibility/2006">
          <mc:Choice Requires="x14">
            <control shapeId="1107" r:id="rId57" name="Check Box 83">
              <controlPr defaultSize="0" autoFill="0" autoLine="0" autoPict="0">
                <anchor moveWithCells="1">
                  <from>
                    <xdr:col>1</xdr:col>
                    <xdr:colOff>0</xdr:colOff>
                    <xdr:row>93</xdr:row>
                    <xdr:rowOff>133350</xdr:rowOff>
                  </from>
                  <to>
                    <xdr:col>3</xdr:col>
                    <xdr:colOff>114300</xdr:colOff>
                    <xdr:row>95</xdr:row>
                    <xdr:rowOff>28575</xdr:rowOff>
                  </to>
                </anchor>
              </controlPr>
            </control>
          </mc:Choice>
        </mc:AlternateContent>
        <mc:AlternateContent xmlns:mc="http://schemas.openxmlformats.org/markup-compatibility/2006">
          <mc:Choice Requires="x14">
            <control shapeId="1108" r:id="rId58" name="Check Box 84">
              <controlPr defaultSize="0" autoFill="0" autoLine="0" autoPict="0">
                <anchor moveWithCells="1">
                  <from>
                    <xdr:col>1</xdr:col>
                    <xdr:colOff>0</xdr:colOff>
                    <xdr:row>94</xdr:row>
                    <xdr:rowOff>133350</xdr:rowOff>
                  </from>
                  <to>
                    <xdr:col>3</xdr:col>
                    <xdr:colOff>114300</xdr:colOff>
                    <xdr:row>96</xdr:row>
                    <xdr:rowOff>28575</xdr:rowOff>
                  </to>
                </anchor>
              </controlPr>
            </control>
          </mc:Choice>
        </mc:AlternateContent>
        <mc:AlternateContent xmlns:mc="http://schemas.openxmlformats.org/markup-compatibility/2006">
          <mc:Choice Requires="x14">
            <control shapeId="1109" r:id="rId59" name="Check Box 85">
              <controlPr defaultSize="0" autoFill="0" autoLine="0" autoPict="0">
                <anchor moveWithCells="1">
                  <from>
                    <xdr:col>1</xdr:col>
                    <xdr:colOff>0</xdr:colOff>
                    <xdr:row>95</xdr:row>
                    <xdr:rowOff>133350</xdr:rowOff>
                  </from>
                  <to>
                    <xdr:col>3</xdr:col>
                    <xdr:colOff>114300</xdr:colOff>
                    <xdr:row>97</xdr:row>
                    <xdr:rowOff>28575</xdr:rowOff>
                  </to>
                </anchor>
              </controlPr>
            </control>
          </mc:Choice>
        </mc:AlternateContent>
        <mc:AlternateContent xmlns:mc="http://schemas.openxmlformats.org/markup-compatibility/2006">
          <mc:Choice Requires="x14">
            <control shapeId="1110" r:id="rId60" name="Check Box 86">
              <controlPr defaultSize="0" autoFill="0" autoLine="0" autoPict="0">
                <anchor moveWithCells="1">
                  <from>
                    <xdr:col>1</xdr:col>
                    <xdr:colOff>0</xdr:colOff>
                    <xdr:row>96</xdr:row>
                    <xdr:rowOff>133350</xdr:rowOff>
                  </from>
                  <to>
                    <xdr:col>3</xdr:col>
                    <xdr:colOff>114300</xdr:colOff>
                    <xdr:row>98</xdr:row>
                    <xdr:rowOff>28575</xdr:rowOff>
                  </to>
                </anchor>
              </controlPr>
            </control>
          </mc:Choice>
        </mc:AlternateContent>
        <mc:AlternateContent xmlns:mc="http://schemas.openxmlformats.org/markup-compatibility/2006">
          <mc:Choice Requires="x14">
            <control shapeId="1111" r:id="rId61" name="Check Box 87">
              <controlPr defaultSize="0" autoFill="0" autoLine="0" autoPict="0">
                <anchor moveWithCells="1">
                  <from>
                    <xdr:col>1</xdr:col>
                    <xdr:colOff>0</xdr:colOff>
                    <xdr:row>97</xdr:row>
                    <xdr:rowOff>133350</xdr:rowOff>
                  </from>
                  <to>
                    <xdr:col>3</xdr:col>
                    <xdr:colOff>114300</xdr:colOff>
                    <xdr:row>99</xdr:row>
                    <xdr:rowOff>28575</xdr:rowOff>
                  </to>
                </anchor>
              </controlPr>
            </control>
          </mc:Choice>
        </mc:AlternateContent>
        <mc:AlternateContent xmlns:mc="http://schemas.openxmlformats.org/markup-compatibility/2006">
          <mc:Choice Requires="x14">
            <control shapeId="1112" r:id="rId62" name="Check Box 88">
              <controlPr defaultSize="0" autoFill="0" autoLine="0" autoPict="0">
                <anchor moveWithCells="1">
                  <from>
                    <xdr:col>1</xdr:col>
                    <xdr:colOff>0</xdr:colOff>
                    <xdr:row>98</xdr:row>
                    <xdr:rowOff>133350</xdr:rowOff>
                  </from>
                  <to>
                    <xdr:col>3</xdr:col>
                    <xdr:colOff>114300</xdr:colOff>
                    <xdr:row>100</xdr:row>
                    <xdr:rowOff>28575</xdr:rowOff>
                  </to>
                </anchor>
              </controlPr>
            </control>
          </mc:Choice>
        </mc:AlternateContent>
        <mc:AlternateContent xmlns:mc="http://schemas.openxmlformats.org/markup-compatibility/2006">
          <mc:Choice Requires="x14">
            <control shapeId="1113" r:id="rId63" name="Check Box 89">
              <controlPr defaultSize="0" autoFill="0" autoLine="0" autoPict="0">
                <anchor moveWithCells="1">
                  <from>
                    <xdr:col>1</xdr:col>
                    <xdr:colOff>0</xdr:colOff>
                    <xdr:row>99</xdr:row>
                    <xdr:rowOff>133350</xdr:rowOff>
                  </from>
                  <to>
                    <xdr:col>3</xdr:col>
                    <xdr:colOff>114300</xdr:colOff>
                    <xdr:row>101</xdr:row>
                    <xdr:rowOff>28575</xdr:rowOff>
                  </to>
                </anchor>
              </controlPr>
            </control>
          </mc:Choice>
        </mc:AlternateContent>
        <mc:AlternateContent xmlns:mc="http://schemas.openxmlformats.org/markup-compatibility/2006">
          <mc:Choice Requires="x14">
            <control shapeId="1114" r:id="rId64" name="Check Box 90">
              <controlPr defaultSize="0" autoFill="0" autoLine="0" autoPict="0">
                <anchor moveWithCells="1">
                  <from>
                    <xdr:col>1</xdr:col>
                    <xdr:colOff>0</xdr:colOff>
                    <xdr:row>100</xdr:row>
                    <xdr:rowOff>133350</xdr:rowOff>
                  </from>
                  <to>
                    <xdr:col>3</xdr:col>
                    <xdr:colOff>114300</xdr:colOff>
                    <xdr:row>102</xdr:row>
                    <xdr:rowOff>28575</xdr:rowOff>
                  </to>
                </anchor>
              </controlPr>
            </control>
          </mc:Choice>
        </mc:AlternateContent>
        <mc:AlternateContent xmlns:mc="http://schemas.openxmlformats.org/markup-compatibility/2006">
          <mc:Choice Requires="x14">
            <control shapeId="1115" r:id="rId65" name="Check Box 91">
              <controlPr defaultSize="0" autoFill="0" autoLine="0" autoPict="0">
                <anchor moveWithCells="1">
                  <from>
                    <xdr:col>1</xdr:col>
                    <xdr:colOff>0</xdr:colOff>
                    <xdr:row>101</xdr:row>
                    <xdr:rowOff>133350</xdr:rowOff>
                  </from>
                  <to>
                    <xdr:col>3</xdr:col>
                    <xdr:colOff>114300</xdr:colOff>
                    <xdr:row>103</xdr:row>
                    <xdr:rowOff>28575</xdr:rowOff>
                  </to>
                </anchor>
              </controlPr>
            </control>
          </mc:Choice>
        </mc:AlternateContent>
        <mc:AlternateContent xmlns:mc="http://schemas.openxmlformats.org/markup-compatibility/2006">
          <mc:Choice Requires="x14">
            <control shapeId="1116" r:id="rId66" name="Check Box 92">
              <controlPr defaultSize="0" autoFill="0" autoLine="0" autoPict="0">
                <anchor moveWithCells="1">
                  <from>
                    <xdr:col>1</xdr:col>
                    <xdr:colOff>0</xdr:colOff>
                    <xdr:row>102</xdr:row>
                    <xdr:rowOff>133350</xdr:rowOff>
                  </from>
                  <to>
                    <xdr:col>3</xdr:col>
                    <xdr:colOff>114300</xdr:colOff>
                    <xdr:row>104</xdr:row>
                    <xdr:rowOff>28575</xdr:rowOff>
                  </to>
                </anchor>
              </controlPr>
            </control>
          </mc:Choice>
        </mc:AlternateContent>
        <mc:AlternateContent xmlns:mc="http://schemas.openxmlformats.org/markup-compatibility/2006">
          <mc:Choice Requires="x14">
            <control shapeId="1117" r:id="rId67" name="Check Box 93">
              <controlPr defaultSize="0" autoFill="0" autoLine="0" autoPict="0">
                <anchor moveWithCells="1">
                  <from>
                    <xdr:col>1</xdr:col>
                    <xdr:colOff>0</xdr:colOff>
                    <xdr:row>103</xdr:row>
                    <xdr:rowOff>133350</xdr:rowOff>
                  </from>
                  <to>
                    <xdr:col>3</xdr:col>
                    <xdr:colOff>114300</xdr:colOff>
                    <xdr:row>105</xdr:row>
                    <xdr:rowOff>28575</xdr:rowOff>
                  </to>
                </anchor>
              </controlPr>
            </control>
          </mc:Choice>
        </mc:AlternateContent>
        <mc:AlternateContent xmlns:mc="http://schemas.openxmlformats.org/markup-compatibility/2006">
          <mc:Choice Requires="x14">
            <control shapeId="1118" r:id="rId68" name="Drop Down 94">
              <controlPr defaultSize="0" print="0" autoLine="0" autoPict="0">
                <anchor moveWithCells="1">
                  <from>
                    <xdr:col>12</xdr:col>
                    <xdr:colOff>0</xdr:colOff>
                    <xdr:row>9</xdr:row>
                    <xdr:rowOff>0</xdr:rowOff>
                  </from>
                  <to>
                    <xdr:col>13</xdr:col>
                    <xdr:colOff>590550</xdr:colOff>
                    <xdr:row>10</xdr:row>
                    <xdr:rowOff>0</xdr:rowOff>
                  </to>
                </anchor>
              </controlPr>
            </control>
          </mc:Choice>
        </mc:AlternateContent>
        <mc:AlternateContent xmlns:mc="http://schemas.openxmlformats.org/markup-compatibility/2006">
          <mc:Choice Requires="x14">
            <control shapeId="1119" r:id="rId69" name="Check Box 95">
              <controlPr defaultSize="0" autoFill="0" autoLine="0" autoPict="0">
                <anchor moveWithCells="1">
                  <from>
                    <xdr:col>1</xdr:col>
                    <xdr:colOff>0</xdr:colOff>
                    <xdr:row>52</xdr:row>
                    <xdr:rowOff>133350</xdr:rowOff>
                  </from>
                  <to>
                    <xdr:col>3</xdr:col>
                    <xdr:colOff>114300</xdr:colOff>
                    <xdr:row>54</xdr:row>
                    <xdr:rowOff>28575</xdr:rowOff>
                  </to>
                </anchor>
              </controlPr>
            </control>
          </mc:Choice>
        </mc:AlternateContent>
        <mc:AlternateContent xmlns:mc="http://schemas.openxmlformats.org/markup-compatibility/2006">
          <mc:Choice Requires="x14">
            <control shapeId="1120" r:id="rId70" name="Check Box 96">
              <controlPr defaultSize="0" autoFill="0" autoLine="0" autoPict="0">
                <anchor moveWithCells="1">
                  <from>
                    <xdr:col>1</xdr:col>
                    <xdr:colOff>0</xdr:colOff>
                    <xdr:row>70</xdr:row>
                    <xdr:rowOff>133350</xdr:rowOff>
                  </from>
                  <to>
                    <xdr:col>3</xdr:col>
                    <xdr:colOff>114300</xdr:colOff>
                    <xdr:row>72</xdr:row>
                    <xdr:rowOff>19050</xdr:rowOff>
                  </to>
                </anchor>
              </controlPr>
            </control>
          </mc:Choice>
        </mc:AlternateContent>
        <mc:AlternateContent xmlns:mc="http://schemas.openxmlformats.org/markup-compatibility/2006">
          <mc:Choice Requires="x14">
            <control shapeId="1121" r:id="rId71" name="Check Box 97">
              <controlPr defaultSize="0" autoFill="0" autoLine="0" autoPict="0">
                <anchor moveWithCells="1">
                  <from>
                    <xdr:col>1</xdr:col>
                    <xdr:colOff>0</xdr:colOff>
                    <xdr:row>85</xdr:row>
                    <xdr:rowOff>142875</xdr:rowOff>
                  </from>
                  <to>
                    <xdr:col>3</xdr:col>
                    <xdr:colOff>114300</xdr:colOff>
                    <xdr:row>87</xdr:row>
                    <xdr:rowOff>38100</xdr:rowOff>
                  </to>
                </anchor>
              </controlPr>
            </control>
          </mc:Choice>
        </mc:AlternateContent>
        <mc:AlternateContent xmlns:mc="http://schemas.openxmlformats.org/markup-compatibility/2006">
          <mc:Choice Requires="x14">
            <control shapeId="1122" r:id="rId72" name="Check Box 98">
              <controlPr defaultSize="0" autoFill="0" autoLine="0" autoPict="0">
                <anchor moveWithCells="1">
                  <from>
                    <xdr:col>0</xdr:col>
                    <xdr:colOff>257175</xdr:colOff>
                    <xdr:row>86</xdr:row>
                    <xdr:rowOff>142875</xdr:rowOff>
                  </from>
                  <to>
                    <xdr:col>3</xdr:col>
                    <xdr:colOff>114300</xdr:colOff>
                    <xdr:row>88</xdr:row>
                    <xdr:rowOff>38100</xdr:rowOff>
                  </to>
                </anchor>
              </controlPr>
            </control>
          </mc:Choice>
        </mc:AlternateContent>
        <mc:AlternateContent xmlns:mc="http://schemas.openxmlformats.org/markup-compatibility/2006">
          <mc:Choice Requires="x14">
            <control shapeId="1123" r:id="rId73" name="Check Box 99">
              <controlPr defaultSize="0" autoFill="0" autoLine="0" autoPict="0">
                <anchor moveWithCells="1">
                  <from>
                    <xdr:col>1</xdr:col>
                    <xdr:colOff>0</xdr:colOff>
                    <xdr:row>57</xdr:row>
                    <xdr:rowOff>133350</xdr:rowOff>
                  </from>
                  <to>
                    <xdr:col>3</xdr:col>
                    <xdr:colOff>114300</xdr:colOff>
                    <xdr:row>59</xdr:row>
                    <xdr:rowOff>9525</xdr:rowOff>
                  </to>
                </anchor>
              </controlPr>
            </control>
          </mc:Choice>
        </mc:AlternateContent>
        <mc:AlternateContent xmlns:mc="http://schemas.openxmlformats.org/markup-compatibility/2006">
          <mc:Choice Requires="x14">
            <control shapeId="1124" r:id="rId74" name="Check Box 100">
              <controlPr defaultSize="0" autoFill="0" autoLine="0" autoPict="0">
                <anchor moveWithCells="1">
                  <from>
                    <xdr:col>1</xdr:col>
                    <xdr:colOff>0</xdr:colOff>
                    <xdr:row>58</xdr:row>
                    <xdr:rowOff>133350</xdr:rowOff>
                  </from>
                  <to>
                    <xdr:col>3</xdr:col>
                    <xdr:colOff>114300</xdr:colOff>
                    <xdr:row>60</xdr:row>
                    <xdr:rowOff>9525</xdr:rowOff>
                  </to>
                </anchor>
              </controlPr>
            </control>
          </mc:Choice>
        </mc:AlternateContent>
        <mc:AlternateContent xmlns:mc="http://schemas.openxmlformats.org/markup-compatibility/2006">
          <mc:Choice Requires="x14">
            <control shapeId="1125" r:id="rId75" name="Check Box 101">
              <controlPr defaultSize="0" autoFill="0" autoLine="0" autoPict="0">
                <anchor moveWithCells="1">
                  <from>
                    <xdr:col>1</xdr:col>
                    <xdr:colOff>0</xdr:colOff>
                    <xdr:row>60</xdr:row>
                    <xdr:rowOff>133350</xdr:rowOff>
                  </from>
                  <to>
                    <xdr:col>3</xdr:col>
                    <xdr:colOff>114300</xdr:colOff>
                    <xdr:row>62</xdr:row>
                    <xdr:rowOff>28575</xdr:rowOff>
                  </to>
                </anchor>
              </controlPr>
            </control>
          </mc:Choice>
        </mc:AlternateContent>
        <mc:AlternateContent xmlns:mc="http://schemas.openxmlformats.org/markup-compatibility/2006">
          <mc:Choice Requires="x14">
            <control shapeId="1126" r:id="rId76" name="Check Box 102">
              <controlPr defaultSize="0" autoFill="0" autoLine="0" autoPict="0">
                <anchor moveWithCells="1">
                  <from>
                    <xdr:col>1</xdr:col>
                    <xdr:colOff>0</xdr:colOff>
                    <xdr:row>59</xdr:row>
                    <xdr:rowOff>133350</xdr:rowOff>
                  </from>
                  <to>
                    <xdr:col>3</xdr:col>
                    <xdr:colOff>114300</xdr:colOff>
                    <xdr:row>61</xdr:row>
                    <xdr:rowOff>28575</xdr:rowOff>
                  </to>
                </anchor>
              </controlPr>
            </control>
          </mc:Choice>
        </mc:AlternateContent>
        <mc:AlternateContent xmlns:mc="http://schemas.openxmlformats.org/markup-compatibility/2006">
          <mc:Choice Requires="x14">
            <control shapeId="1127" r:id="rId77" name="Check Box 103">
              <controlPr defaultSize="0" autoFill="0" autoLine="0" autoPict="0">
                <anchor moveWithCells="1">
                  <from>
                    <xdr:col>1</xdr:col>
                    <xdr:colOff>0</xdr:colOff>
                    <xdr:row>61</xdr:row>
                    <xdr:rowOff>133350</xdr:rowOff>
                  </from>
                  <to>
                    <xdr:col>3</xdr:col>
                    <xdr:colOff>114300</xdr:colOff>
                    <xdr:row>63</xdr:row>
                    <xdr:rowOff>28575</xdr:rowOff>
                  </to>
                </anchor>
              </controlPr>
            </control>
          </mc:Choice>
        </mc:AlternateContent>
        <mc:AlternateContent xmlns:mc="http://schemas.openxmlformats.org/markup-compatibility/2006">
          <mc:Choice Requires="x14">
            <control shapeId="1128" r:id="rId78" name="Check Box 104">
              <controlPr defaultSize="0" autoFill="0" autoLine="0" autoPict="0">
                <anchor moveWithCells="1">
                  <from>
                    <xdr:col>1</xdr:col>
                    <xdr:colOff>0</xdr:colOff>
                    <xdr:row>104</xdr:row>
                    <xdr:rowOff>133350</xdr:rowOff>
                  </from>
                  <to>
                    <xdr:col>3</xdr:col>
                    <xdr:colOff>114300</xdr:colOff>
                    <xdr:row>106</xdr:row>
                    <xdr:rowOff>28575</xdr:rowOff>
                  </to>
                </anchor>
              </controlPr>
            </control>
          </mc:Choice>
        </mc:AlternateContent>
        <mc:AlternateContent xmlns:mc="http://schemas.openxmlformats.org/markup-compatibility/2006">
          <mc:Choice Requires="x14">
            <control shapeId="1130" r:id="rId79" name="Check Box 106">
              <controlPr defaultSize="0" autoFill="0" autoLine="0" autoPict="0">
                <anchor moveWithCells="1">
                  <from>
                    <xdr:col>1</xdr:col>
                    <xdr:colOff>0</xdr:colOff>
                    <xdr:row>54</xdr:row>
                    <xdr:rowOff>142875</xdr:rowOff>
                  </from>
                  <to>
                    <xdr:col>3</xdr:col>
                    <xdr:colOff>123825</xdr:colOff>
                    <xdr:row>56</xdr:row>
                    <xdr:rowOff>28575</xdr:rowOff>
                  </to>
                </anchor>
              </controlPr>
            </control>
          </mc:Choice>
        </mc:AlternateContent>
        <mc:AlternateContent xmlns:mc="http://schemas.openxmlformats.org/markup-compatibility/2006">
          <mc:Choice Requires="x14">
            <control shapeId="1131" r:id="rId80" name="Check Box 107">
              <controlPr defaultSize="0" autoFill="0" autoLine="0" autoPict="0">
                <anchor moveWithCells="1">
                  <from>
                    <xdr:col>1</xdr:col>
                    <xdr:colOff>0</xdr:colOff>
                    <xdr:row>65</xdr:row>
                    <xdr:rowOff>133350</xdr:rowOff>
                  </from>
                  <to>
                    <xdr:col>3</xdr:col>
                    <xdr:colOff>114300</xdr:colOff>
                    <xdr:row>67</xdr:row>
                    <xdr:rowOff>19050</xdr:rowOff>
                  </to>
                </anchor>
              </controlPr>
            </control>
          </mc:Choice>
        </mc:AlternateContent>
        <mc:AlternateContent xmlns:mc="http://schemas.openxmlformats.org/markup-compatibility/2006">
          <mc:Choice Requires="x14">
            <control shapeId="1132" r:id="rId81" name="Check Box 108">
              <controlPr defaultSize="0" autoFill="0" autoLine="0" autoPict="0">
                <anchor moveWithCells="1">
                  <from>
                    <xdr:col>1</xdr:col>
                    <xdr:colOff>0</xdr:colOff>
                    <xdr:row>66</xdr:row>
                    <xdr:rowOff>133350</xdr:rowOff>
                  </from>
                  <to>
                    <xdr:col>3</xdr:col>
                    <xdr:colOff>114300</xdr:colOff>
                    <xdr:row>68</xdr:row>
                    <xdr:rowOff>19050</xdr:rowOff>
                  </to>
                </anchor>
              </controlPr>
            </control>
          </mc:Choice>
        </mc:AlternateContent>
        <mc:AlternateContent xmlns:mc="http://schemas.openxmlformats.org/markup-compatibility/2006">
          <mc:Choice Requires="x14">
            <control shapeId="1133" r:id="rId82" name="Check Box 109">
              <controlPr defaultSize="0" autoFill="0" autoLine="0" autoPict="0">
                <anchor moveWithCells="1">
                  <from>
                    <xdr:col>1</xdr:col>
                    <xdr:colOff>0</xdr:colOff>
                    <xdr:row>27</xdr:row>
                    <xdr:rowOff>133350</xdr:rowOff>
                  </from>
                  <to>
                    <xdr:col>3</xdr:col>
                    <xdr:colOff>114300</xdr:colOff>
                    <xdr:row>29</xdr:row>
                    <xdr:rowOff>28575</xdr:rowOff>
                  </to>
                </anchor>
              </controlPr>
            </control>
          </mc:Choice>
        </mc:AlternateContent>
        <mc:AlternateContent xmlns:mc="http://schemas.openxmlformats.org/markup-compatibility/2006">
          <mc:Choice Requires="x14">
            <control shapeId="1134" r:id="rId83" name="Check Box 110">
              <controlPr defaultSize="0" autoFill="0" autoLine="0" autoPict="0">
                <anchor moveWithCells="1">
                  <from>
                    <xdr:col>1</xdr:col>
                    <xdr:colOff>0</xdr:colOff>
                    <xdr:row>105</xdr:row>
                    <xdr:rowOff>133350</xdr:rowOff>
                  </from>
                  <to>
                    <xdr:col>3</xdr:col>
                    <xdr:colOff>114300</xdr:colOff>
                    <xdr:row>107</xdr:row>
                    <xdr:rowOff>19050</xdr:rowOff>
                  </to>
                </anchor>
              </controlPr>
            </control>
          </mc:Choice>
        </mc:AlternateContent>
        <mc:AlternateContent xmlns:mc="http://schemas.openxmlformats.org/markup-compatibility/2006">
          <mc:Choice Requires="x14">
            <control shapeId="1135" r:id="rId84" name="Check Box 111">
              <controlPr defaultSize="0" autoFill="0" autoLine="0" autoPict="0">
                <anchor moveWithCells="1">
                  <from>
                    <xdr:col>1</xdr:col>
                    <xdr:colOff>0</xdr:colOff>
                    <xdr:row>84</xdr:row>
                    <xdr:rowOff>133350</xdr:rowOff>
                  </from>
                  <to>
                    <xdr:col>3</xdr:col>
                    <xdr:colOff>114300</xdr:colOff>
                    <xdr:row>86</xdr:row>
                    <xdr:rowOff>28575</xdr:rowOff>
                  </to>
                </anchor>
              </controlPr>
            </control>
          </mc:Choice>
        </mc:AlternateContent>
        <mc:AlternateContent xmlns:mc="http://schemas.openxmlformats.org/markup-compatibility/2006">
          <mc:Choice Requires="x14">
            <control shapeId="1136" r:id="rId85" name="Check Box 112">
              <controlPr defaultSize="0" autoFill="0" autoLine="0" autoPict="0">
                <anchor moveWithCells="1">
                  <from>
                    <xdr:col>1</xdr:col>
                    <xdr:colOff>0</xdr:colOff>
                    <xdr:row>48</xdr:row>
                    <xdr:rowOff>133350</xdr:rowOff>
                  </from>
                  <to>
                    <xdr:col>3</xdr:col>
                    <xdr:colOff>114300</xdr:colOff>
                    <xdr:row>50</xdr:row>
                    <xdr:rowOff>28575</xdr:rowOff>
                  </to>
                </anchor>
              </controlPr>
            </control>
          </mc:Choice>
        </mc:AlternateContent>
        <mc:AlternateContent xmlns:mc="http://schemas.openxmlformats.org/markup-compatibility/2006">
          <mc:Choice Requires="x14">
            <control shapeId="1137" r:id="rId86" name="Check Box 113">
              <controlPr defaultSize="0" autoFill="0" autoLine="0" autoPict="0">
                <anchor moveWithCells="1">
                  <from>
                    <xdr:col>1</xdr:col>
                    <xdr:colOff>0</xdr:colOff>
                    <xdr:row>62</xdr:row>
                    <xdr:rowOff>133350</xdr:rowOff>
                  </from>
                  <to>
                    <xdr:col>3</xdr:col>
                    <xdr:colOff>114300</xdr:colOff>
                    <xdr:row>64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2022 Land Storage Worksheet</vt:lpstr>
      <vt:lpstr>'2022 Land Storage Worksheet'!Print_Area</vt:lpstr>
    </vt:vector>
  </TitlesOfParts>
  <Company>Crate's Lake Country Boats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Brinks</dc:creator>
  <cp:lastModifiedBy>Brian Brinks</cp:lastModifiedBy>
  <cp:lastPrinted>2022-09-13T13:39:39Z</cp:lastPrinted>
  <dcterms:created xsi:type="dcterms:W3CDTF">2012-09-07T21:26:48Z</dcterms:created>
  <dcterms:modified xsi:type="dcterms:W3CDTF">2022-09-13T17:05:34Z</dcterms:modified>
</cp:coreProperties>
</file>