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24226"/>
  <mc:AlternateContent xmlns:mc="http://schemas.openxmlformats.org/markup-compatibility/2006">
    <mc:Choice Requires="x15">
      <x15ac:absPath xmlns:x15ac="http://schemas.microsoft.com/office/spreadsheetml/2010/11/ac" url="https://exchcrates-my.sharepoint.com/personal/brian_zgn_ca/Documents/Documents/"/>
    </mc:Choice>
  </mc:AlternateContent>
  <xr:revisionPtr revIDLastSave="0" documentId="8_{BBD490D6-F801-4AC0-851C-68EEB89D347D}" xr6:coauthVersionLast="47" xr6:coauthVersionMax="47" xr10:uidLastSave="{00000000-0000-0000-0000-000000000000}"/>
  <workbookProtection workbookAlgorithmName="SHA-512" workbookHashValue="FlPPiaFqERp+LbiERW189S+tGyrE4g32eS9oqom++ixZzgagHl7/AMnMzW9Q0ssPeYLrR2L/oPv9hrRklT0YGA==" workbookSaltValue="Z0LkstDuEIKoiH/shyzluQ==" workbookSpinCount="100000" lockStructure="1"/>
  <bookViews>
    <workbookView xWindow="9390" yWindow="0" windowWidth="29010" windowHeight="15435" xr2:uid="{00000000-000D-0000-FFFF-FFFF00000000}"/>
  </bookViews>
  <sheets>
    <sheet name="2022 Runabout Worksheet" sheetId="1" r:id="rId1"/>
  </sheets>
  <definedNames>
    <definedName name="_xlnm.Print_Area" localSheetId="0">'2022 Runabout Worksheet'!$A$1:$O$202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9" i="1" l="1"/>
  <c r="G59" i="1"/>
  <c r="K191" i="1"/>
  <c r="K195" i="1" s="1"/>
  <c r="K133" i="1"/>
  <c r="H133" i="1"/>
  <c r="E133" i="1"/>
  <c r="Z15" i="1"/>
  <c r="Q14" i="1"/>
  <c r="Z14" i="1"/>
  <c r="G88" i="1"/>
  <c r="I88" i="1" s="1"/>
  <c r="G87" i="1"/>
  <c r="BI89" i="1" l="1"/>
  <c r="BI87" i="1"/>
  <c r="BI86" i="1"/>
  <c r="BI85" i="1"/>
  <c r="BI84" i="1"/>
  <c r="BI80" i="1"/>
  <c r="BJ80" i="1" s="1"/>
  <c r="BI79" i="1"/>
  <c r="BJ79" i="1" s="1"/>
  <c r="BI78" i="1"/>
  <c r="BJ78" i="1" s="1"/>
  <c r="BI77" i="1"/>
  <c r="BJ77" i="1" s="1"/>
  <c r="BI76" i="1"/>
  <c r="BJ76" i="1" s="1"/>
  <c r="BI75" i="1"/>
  <c r="BJ75" i="1" s="1"/>
  <c r="BI72" i="1"/>
  <c r="BI71" i="1"/>
  <c r="BI70" i="1"/>
  <c r="BJ70" i="1" s="1"/>
  <c r="BI69" i="1"/>
  <c r="BJ69" i="1" s="1"/>
  <c r="BI68" i="1"/>
  <c r="BJ68" i="1" s="1"/>
  <c r="BI67" i="1"/>
  <c r="BJ67" i="1" s="1"/>
  <c r="BI66" i="1"/>
  <c r="BJ66" i="1" s="1"/>
  <c r="BI65" i="1"/>
  <c r="BJ65" i="1" s="1"/>
  <c r="BI64" i="1"/>
  <c r="BJ64" i="1" s="1"/>
  <c r="BI60" i="1"/>
  <c r="BJ60" i="1" s="1"/>
  <c r="BI59" i="1"/>
  <c r="BJ59" i="1" s="1"/>
  <c r="BI58" i="1"/>
  <c r="BJ58" i="1" s="1"/>
  <c r="BI57" i="1"/>
  <c r="BJ57" i="1" s="1"/>
  <c r="BI53" i="1"/>
  <c r="BJ53" i="1" s="1"/>
  <c r="BI50" i="1"/>
  <c r="BI49" i="1"/>
  <c r="BI48" i="1"/>
  <c r="BJ48" i="1" s="1"/>
  <c r="BI47" i="1"/>
  <c r="BJ47" i="1" s="1"/>
  <c r="BI46" i="1"/>
  <c r="BJ46" i="1" s="1"/>
  <c r="BI42" i="1"/>
  <c r="BJ42" i="1" s="1"/>
  <c r="BI41" i="1"/>
  <c r="BI40" i="1"/>
  <c r="BI39" i="1"/>
  <c r="BI34" i="1"/>
  <c r="BI33" i="1"/>
  <c r="BI20" i="1"/>
  <c r="BJ20" i="1" s="1"/>
  <c r="BI21" i="1"/>
  <c r="BJ21" i="1" s="1"/>
  <c r="BI22" i="1"/>
  <c r="BJ22" i="1" s="1"/>
  <c r="BI23" i="1"/>
  <c r="BJ23" i="1" s="1"/>
  <c r="BI24" i="1"/>
  <c r="BJ24" i="1" s="1"/>
  <c r="BI25" i="1"/>
  <c r="BJ25" i="1" s="1"/>
  <c r="BI26" i="1"/>
  <c r="BJ26" i="1" s="1"/>
  <c r="BI27" i="1"/>
  <c r="BJ27" i="1" s="1"/>
  <c r="BI19" i="1"/>
  <c r="BJ19" i="1" s="1"/>
  <c r="K130" i="1"/>
  <c r="H130" i="1"/>
  <c r="E129" i="1"/>
  <c r="K128" i="1"/>
  <c r="E128" i="1"/>
  <c r="G53" i="1" l="1"/>
  <c r="I53" i="1" s="1"/>
  <c r="N52" i="1" s="1"/>
  <c r="G67" i="1"/>
  <c r="I67" i="1" s="1"/>
  <c r="G68" i="1"/>
  <c r="G69" i="1" s="1"/>
  <c r="G61" i="1"/>
  <c r="G60" i="1"/>
  <c r="I60" i="1" s="1"/>
  <c r="G58" i="1"/>
  <c r="I58" i="1" s="1"/>
  <c r="G57" i="1"/>
  <c r="I57" i="1" s="1"/>
  <c r="I59" i="1"/>
  <c r="F60" i="1"/>
  <c r="F58" i="1"/>
  <c r="F57" i="1"/>
  <c r="N56" i="1" l="1"/>
  <c r="Z9" i="1"/>
  <c r="Z10" i="1"/>
  <c r="Z11" i="1"/>
  <c r="Z12" i="1"/>
  <c r="Z13" i="1"/>
  <c r="Z16" i="1"/>
  <c r="Z8" i="1"/>
  <c r="F28" i="1"/>
  <c r="G28" i="1"/>
  <c r="G27" i="1"/>
  <c r="I27" i="1" s="1"/>
  <c r="G26" i="1"/>
  <c r="I26" i="1" s="1"/>
  <c r="G25" i="1"/>
  <c r="I25" i="1" s="1"/>
  <c r="G24" i="1"/>
  <c r="I24" i="1" s="1"/>
  <c r="G21" i="1"/>
  <c r="I21" i="1" s="1"/>
  <c r="G20" i="1"/>
  <c r="I20" i="1" s="1"/>
  <c r="I28" i="1" l="1"/>
  <c r="G38" i="1"/>
  <c r="I38" i="1" s="1"/>
  <c r="G19" i="1"/>
  <c r="I19" i="1" s="1"/>
  <c r="I83" i="1"/>
  <c r="G84" i="1"/>
  <c r="I84" i="1" s="1"/>
  <c r="G85" i="1"/>
  <c r="I85" i="1" s="1"/>
  <c r="G86" i="1"/>
  <c r="I86" i="1" s="1"/>
  <c r="I87" i="1"/>
  <c r="G89" i="1"/>
  <c r="I89" i="1" s="1"/>
  <c r="G75" i="1"/>
  <c r="I75" i="1" s="1"/>
  <c r="S75" i="1"/>
  <c r="G76" i="1"/>
  <c r="I76" i="1" s="1"/>
  <c r="S76" i="1"/>
  <c r="G77" i="1"/>
  <c r="I77" i="1" s="1"/>
  <c r="S77" i="1"/>
  <c r="G78" i="1"/>
  <c r="S78" i="1"/>
  <c r="G79" i="1"/>
  <c r="I79" i="1" s="1"/>
  <c r="S79" i="1"/>
  <c r="G80" i="1"/>
  <c r="I80" i="1" s="1"/>
  <c r="S80" i="1"/>
  <c r="G83" i="1"/>
  <c r="G46" i="1"/>
  <c r="I46" i="1" s="1"/>
  <c r="G47" i="1"/>
  <c r="I47" i="1" s="1"/>
  <c r="G48" i="1"/>
  <c r="AU49" i="1"/>
  <c r="G66" i="1"/>
  <c r="I66" i="1" s="1"/>
  <c r="G64" i="1"/>
  <c r="I64" i="1" s="1"/>
  <c r="G65" i="1"/>
  <c r="I68" i="1"/>
  <c r="G22" i="1"/>
  <c r="I22" i="1" s="1"/>
  <c r="G23" i="1"/>
  <c r="I23" i="1" s="1"/>
  <c r="G33" i="1"/>
  <c r="G34" i="1"/>
  <c r="I34" i="1" s="1"/>
  <c r="G39" i="1"/>
  <c r="I39" i="1" s="1"/>
  <c r="G40" i="1"/>
  <c r="I40" i="1" s="1"/>
  <c r="G41" i="1"/>
  <c r="I41" i="1" s="1"/>
  <c r="G42" i="1"/>
  <c r="I42" i="1" s="1"/>
  <c r="G43" i="1"/>
  <c r="I43" i="1" s="1"/>
  <c r="Q9" i="1"/>
  <c r="F48" i="1"/>
  <c r="AP49" i="1"/>
  <c r="F66" i="1"/>
  <c r="Q11" i="1"/>
  <c r="M10" i="1" s="1"/>
  <c r="I10" i="1"/>
  <c r="E131" i="1"/>
  <c r="H131" i="1"/>
  <c r="K131" i="1"/>
  <c r="H132" i="1"/>
  <c r="E132" i="1"/>
  <c r="AM49" i="1"/>
  <c r="AL49" i="1"/>
  <c r="AK49" i="1"/>
  <c r="AH49" i="1"/>
  <c r="Q19" i="1"/>
  <c r="AJ49" i="1"/>
  <c r="Q17" i="1"/>
  <c r="I9" i="1" s="1"/>
  <c r="AW49" i="1"/>
  <c r="AV49" i="1"/>
  <c r="AT49" i="1"/>
  <c r="AS49" i="1"/>
  <c r="AQ49" i="1"/>
  <c r="AO49" i="1"/>
  <c r="AN49" i="1"/>
  <c r="AI49" i="1"/>
  <c r="AR49" i="1"/>
  <c r="F67" i="1" l="1"/>
  <c r="F53" i="1"/>
  <c r="M7" i="1"/>
  <c r="I33" i="1"/>
  <c r="G35" i="1"/>
  <c r="I35" i="1" s="1"/>
  <c r="G70" i="1"/>
  <c r="I70" i="1" s="1"/>
  <c r="F65" i="1"/>
  <c r="I78" i="1"/>
  <c r="N74" i="1" s="1"/>
  <c r="F47" i="1"/>
  <c r="F64" i="1"/>
  <c r="I69" i="1"/>
  <c r="F46" i="1"/>
  <c r="I48" i="1"/>
  <c r="G72" i="1"/>
  <c r="I72" i="1" s="1"/>
  <c r="I65" i="1"/>
  <c r="G50" i="1"/>
  <c r="I50" i="1" s="1"/>
  <c r="G71" i="1"/>
  <c r="I71" i="1" s="1"/>
  <c r="G49" i="1"/>
  <c r="I49" i="1" s="1"/>
  <c r="N18" i="1"/>
  <c r="N82" i="1"/>
  <c r="N37" i="1"/>
  <c r="N32" i="1" l="1"/>
  <c r="N45" i="1"/>
  <c r="N63" i="1"/>
  <c r="N97" i="1" l="1"/>
  <c r="N99" i="1" s="1"/>
  <c r="N100" i="1" s="1"/>
  <c r="N101" i="1" s="1"/>
</calcChain>
</file>

<file path=xl/sharedStrings.xml><?xml version="1.0" encoding="utf-8"?>
<sst xmlns="http://schemas.openxmlformats.org/spreadsheetml/2006/main" count="388" uniqueCount="316">
  <si>
    <t>As the Boat owner or his/her authorized agent, I hereby authorize the work set forth herein and agree to the additional terms and conditions set forth on Page (3) hereof under "Frequently Asked Questions" and on Page (4) hereof under "Winter Service &amp; Storage Agreement". I acknowledge and agree that I must provide the Marina with a valid Credit Card Authorization form prior delivery of my boat to the Marina. I agree to pay the Marina in full immediately upon completion of the work described herein and I authorize the Marina to process my credit card for the charges due.  I acknowledge that the Marina will provide me with a copy of the final Repair Order marked paid in full as well as a receipt for my credit card payment.  I acknowledge and agree that a service charge of 2% per month (24% per annum) will be charged on all unpaid accounts.  No contract is formed until this Estimate is accepted by the Marina.</t>
  </si>
  <si>
    <r>
      <t>1</t>
    </r>
    <r>
      <rPr>
        <sz val="8"/>
        <rFont val="Arial"/>
        <family val="2"/>
      </rPr>
      <t>.</t>
    </r>
    <r>
      <rPr>
        <b/>
        <sz val="8"/>
        <rFont val="Arial"/>
        <family val="2"/>
      </rPr>
      <t xml:space="preserve"> L.O.A.</t>
    </r>
    <r>
      <rPr>
        <sz val="8"/>
        <rFont val="Arial"/>
        <family val="2"/>
      </rPr>
      <t xml:space="preserve"> Means length overall of your boat including swim platform and bow pulpit.</t>
    </r>
  </si>
  <si>
    <t>Basic Pkg through May 31</t>
  </si>
  <si>
    <r>
      <t xml:space="preserve">5. </t>
    </r>
    <r>
      <rPr>
        <b/>
        <sz val="8"/>
        <rFont val="Arial"/>
        <family val="2"/>
      </rPr>
      <t>PREPARING YOUR BOAT FOR WINTERIZING</t>
    </r>
    <r>
      <rPr>
        <sz val="8"/>
        <rFont val="Arial"/>
        <family val="2"/>
      </rPr>
      <t xml:space="preserve"> To ensure your boat is winterized properly, we ask that you take certain steps before delivering it to us for service and/or storage: a) ensure cockpit carpets are clean, dry, rolled-up and stowed or taken home; b) remove all personal items, including safety gear; c) empty refrigerators and coolers and leave doors open; d) remove from your boat all perishables, cleaning products or other liquids that could freeze and cause damage to your boat; e) remove all excess mooring equipment other than the minimum fenders and lines required for us to tie up your boat during service.   Ensuring your boat is neat, tidy and dry at time of winterizing saves time and avoids additional labour charges for the owner.  </t>
    </r>
    <r>
      <rPr>
        <b/>
        <sz val="8"/>
        <rFont val="Arial"/>
        <family val="2"/>
      </rPr>
      <t>Any equipment left onboard your boat for the winter is your responsibility - Crate's Lake Country Boats assumes no responsibility for items stored in customer boats.  If your boat is delivered to us with a wet cockpit/interior, a minumum $150 surchage will be added to your invoice if we have to dry your boat prior to storage.</t>
    </r>
  </si>
  <si>
    <r>
      <t xml:space="preserve">8. </t>
    </r>
    <r>
      <rPr>
        <b/>
        <sz val="8"/>
        <rFont val="Arial"/>
        <family val="2"/>
      </rPr>
      <t>BOTTOM WASHING</t>
    </r>
    <r>
      <rPr>
        <sz val="8"/>
        <rFont val="Arial"/>
        <family val="2"/>
      </rPr>
      <t xml:space="preserve">  If your hull bottom is coated with anti-fouling paint it should only require steam washing.  If your hull bottom is unpainted gelcoat it will probably require a chemical application in addition to steam washing.  Please select only one or the other.</t>
    </r>
  </si>
  <si>
    <r>
      <t>1. PAYMENT TERMS</t>
    </r>
    <r>
      <rPr>
        <sz val="7"/>
        <color indexed="8"/>
        <rFont val="Arial"/>
        <family val="2"/>
      </rPr>
      <t xml:space="preserve">  All accounts are payable in full immediately upon completion by the Marina of the winterizing services described herein.  The Marina shall charge, &amp; the Owner shall pay interest at a rate of 24% per annum or 2% per month on any unpaid balance.</t>
    </r>
  </si>
  <si>
    <r>
      <t xml:space="preserve">3. INSURANCE  </t>
    </r>
    <r>
      <rPr>
        <sz val="7"/>
        <color indexed="8"/>
        <rFont val="Arial"/>
        <family val="2"/>
      </rPr>
      <t>The Owner hereby agrees to maintain adequate insurance coverage on the Equipment while the Equipment is under the control &amp; direction of the Marina, or on the Marina's premises.</t>
    </r>
  </si>
  <si>
    <r>
      <t>4. CLAIM FOR LIEN</t>
    </r>
    <r>
      <rPr>
        <sz val="7"/>
        <color indexed="8"/>
        <rFont val="Arial"/>
        <family val="2"/>
      </rPr>
      <t xml:space="preserve">  The Owner acknowledges that the Marina shall have a lien against the Equipment for all unpaid sums due to the Marina under this Agreement.  The Marina shall be entitled to liens pursuant to the Repair and Storage Liens Act, R.S.O. 1990, c. R-25, as amended, &amp; any successor statute. The Marina shall be entitled to retain possession of the Equipment until payment is received by the Marina of all sums owing by the Owner or until the Equipment is disposed of in accordance with the Repair and Storage Liens Act.</t>
    </r>
  </si>
  <si>
    <r>
      <t xml:space="preserve">5. LICENCE AGREEMENT ONLY </t>
    </r>
    <r>
      <rPr>
        <sz val="7"/>
        <color indexed="8"/>
        <rFont val="Arial"/>
        <family val="2"/>
      </rPr>
      <t>The Owner expressly acknowledges that this Agreement shall create a licence agreement between the Marina &amp; the Owner wherein the Owner is licenced to use the storage space &amp; area, from time to time designated by the Marina for the storage of the Owner’s Equipment.</t>
    </r>
  </si>
  <si>
    <r>
      <t xml:space="preserve">6. LOCATION FOR STORAGE </t>
    </r>
    <r>
      <rPr>
        <sz val="7"/>
        <color indexed="8"/>
        <rFont val="Arial"/>
        <family val="2"/>
      </rPr>
      <t>This Agreement shall not grant to the Owner any right, title, claim or interest in or to any specific storage space or area.  The Marina may determine, at its sole discretion, where the Equipment is to be stored.  The Marina, at its sole discretion &amp; without notice to the Owner, may relocate the Equipment from time to time as it may deem necessary.</t>
    </r>
  </si>
  <si>
    <r>
      <t>8. SNOW REMOVAL</t>
    </r>
    <r>
      <rPr>
        <sz val="7"/>
        <color indexed="8"/>
        <rFont val="Arial"/>
        <family val="2"/>
      </rPr>
      <t xml:space="preserve"> Except where the the Owner has authorized &amp; instructed the Marina to shrink wrap the Equipment pursuant to this Agreement, the Marina shall have no obligation to remove snow or ice from the Equipment, nor to notify the Owner of the necessity for any such snow or ice removal.  The Marina shall not be responsible for any loss, damage, cost or expense relating to the removal or non-removal of snow or ice from the Equipment.</t>
    </r>
  </si>
  <si>
    <r>
      <t xml:space="preserve">10. ENTIRE AGREEMENT </t>
    </r>
    <r>
      <rPr>
        <sz val="7"/>
        <color indexed="8"/>
        <rFont val="Arial"/>
        <family val="2"/>
      </rPr>
      <t xml:space="preserve"> This Agreement shall constitute the entire agreement between the parties &amp; there is no representation, warranty, condition or collateral agreement affecting this Agreement other than as expressed herein.  This Agreement may be amended only in writing upon written consent of the Marina &amp; Owner.</t>
    </r>
  </si>
  <si>
    <r>
      <t>11. SUCCESSORS</t>
    </r>
    <r>
      <rPr>
        <sz val="7"/>
        <color indexed="8"/>
        <rFont val="Arial"/>
        <family val="2"/>
      </rPr>
      <t xml:space="preserve">  This Agreement shall be binding on each of the parties hereto, their respective heirs, executors, administrators, personal representatives, successors &amp; assigns.</t>
    </r>
  </si>
  <si>
    <r>
      <t>12. SEVERABILITY</t>
    </r>
    <r>
      <rPr>
        <sz val="7"/>
        <color indexed="8"/>
        <rFont val="Arial"/>
        <family val="2"/>
      </rPr>
      <t xml:space="preserve">  The Owner agrees that all provisions to this Agreement are severable.  If any provision is held to be invalid, it shall not affect the other provisions, which shall be given full force &amp; effect.</t>
    </r>
  </si>
  <si>
    <r>
      <t>13. JURISDICTION</t>
    </r>
    <r>
      <rPr>
        <sz val="7"/>
        <color indexed="8"/>
        <rFont val="Arial"/>
        <family val="2"/>
      </rPr>
      <t xml:space="preserve">  This Agreement shall be read with all changes of gender &amp; number required by the context.  This Agreement &amp; the affairs of the parties shall be governed by the laws of the Province of Ontario &amp; the venue for any legal dispute shall be the jurisdiction in which Marina is located.</t>
    </r>
  </si>
  <si>
    <r>
      <t>B) Spring Clean - Standard:</t>
    </r>
    <r>
      <rPr>
        <sz val="7"/>
        <rFont val="Arial"/>
        <family val="2"/>
      </rPr>
      <t xml:space="preserve"> Pressure wash exterior, wipe down cockpit surfaces, vacuum cockpit carpet &amp; clean windows and/or windshield</t>
    </r>
  </si>
  <si>
    <t>Where the Owner has contracted Crate's Lake Country Boats Inc. (hereinafter the "Marina") to provide winterization and/or storage services, as may be applicable, on his/her Boat, Motor, Trailer (hereinafter the "Equipment"), such services shall be detailed in the Winterizing Worksheet attached hereto as Schedule "A".  No Winterizing Worksheet is valid unless accompanied by this Agreement.  The Marina assumes no responsibility to prepare the Equipment for winter except as explicity authorized and directed by the Owner under this Agreement.  IF THE OWNER DOES NOT REQUIRE ANY WINTERIZATION SERVICES, HE/SHE MUST INITIAL HERE (___________).  By initialling here the Owner hereby releases the Marina from any obligation to winterize, service, clean, maintain or otherwise care for the Equipment and he/she agrees to indemnify and save harmless the Marina for any damage caused by lack of service or maintenance including, but not limited to, improper or inadequate winterization. This Agreement shall remain in full force and effect at all times while the Equipment is on the property of the Marina.</t>
  </si>
  <si>
    <t>WINTER SERVICE &amp; STORAGE AGREEMENT</t>
  </si>
  <si>
    <t>day  of</t>
  </si>
  <si>
    <t>FREQUENTLY ASKED QUESTIONS</t>
  </si>
  <si>
    <t>Boat Year</t>
  </si>
  <si>
    <t xml:space="preserve">Make </t>
  </si>
  <si>
    <t>Hull #</t>
  </si>
  <si>
    <t>Lic #</t>
  </si>
  <si>
    <t>Name of Person Authorizing Work</t>
  </si>
  <si>
    <t>Authorized Signature</t>
  </si>
  <si>
    <t>Date</t>
  </si>
  <si>
    <t>X:</t>
  </si>
  <si>
    <t>WARNING TO BOAT OWNERS</t>
  </si>
  <si>
    <t>YOU SHOULD NOTIFY YOUR INSURANCE COMPANY YOU HAVE SIGNED THIS AGREEMENT AS IT MAY INVALIDATE YOUR INSURANCE UNLESS YOU HAVE THE CONSENT OF THE INSURANCE COMPANY IN WRITING.</t>
  </si>
  <si>
    <t xml:space="preserve">Dated at </t>
  </si>
  <si>
    <t>this</t>
  </si>
  <si>
    <t>SIGNED, SEALED AND DELIVERED</t>
  </si>
  <si>
    <t>in the presence of:</t>
  </si>
  <si>
    <t>(Witness)</t>
  </si>
  <si>
    <t>(Owner(s))</t>
  </si>
  <si>
    <t>(Marina)</t>
  </si>
  <si>
    <t>This Agreement is not valid unless signed and accepted by an authorized Officer of the Marina</t>
  </si>
  <si>
    <t>The Owner hereby agrees to service and/or store the Equipment with the Marina under the following Terms and Conditions:</t>
  </si>
  <si>
    <t>OWNER INFORMATION</t>
  </si>
  <si>
    <t>BOAT DESCRIPTION</t>
  </si>
  <si>
    <t>Engine Make</t>
  </si>
  <si>
    <t>Beam</t>
  </si>
  <si>
    <t>RATE</t>
  </si>
  <si>
    <t>Volvo</t>
  </si>
  <si>
    <t>Quote</t>
  </si>
  <si>
    <t>Engine Model</t>
  </si>
  <si>
    <t>Mercury</t>
  </si>
  <si>
    <t>Yamaha</t>
  </si>
  <si>
    <t>Enviro Disposal Fee</t>
  </si>
  <si>
    <t>QTY</t>
  </si>
  <si>
    <t>Shop Supplies</t>
  </si>
  <si>
    <t>Merc IB Oil Filter</t>
  </si>
  <si>
    <t>Merc OB Oil Filter</t>
  </si>
  <si>
    <t>Full Sterndrive Service</t>
  </si>
  <si>
    <t>Store Sterndrive Inside</t>
  </si>
  <si>
    <t>Prop Removal / Storage</t>
  </si>
  <si>
    <t>Head</t>
  </si>
  <si>
    <t>Pumpout</t>
  </si>
  <si>
    <t>Gelcoat Bottom - Chemical</t>
  </si>
  <si>
    <t>Email</t>
  </si>
  <si>
    <t>Home Ph</t>
  </si>
  <si>
    <t>Work Ph</t>
  </si>
  <si>
    <t>Address</t>
  </si>
  <si>
    <t>Cell Phone</t>
  </si>
  <si>
    <t>Year</t>
  </si>
  <si>
    <t>Make</t>
  </si>
  <si>
    <t>Model</t>
  </si>
  <si>
    <t>Hull Number</t>
  </si>
  <si>
    <t>Lic Number</t>
  </si>
  <si>
    <t>Drive Type</t>
  </si>
  <si>
    <t>Other</t>
  </si>
  <si>
    <t>Outboard</t>
  </si>
  <si>
    <t>Inboard</t>
  </si>
  <si>
    <t>Jet</t>
  </si>
  <si>
    <t>(Ft)</t>
  </si>
  <si>
    <t xml:space="preserve">Length Overall </t>
  </si>
  <si>
    <t>Drive</t>
  </si>
  <si>
    <t>Engine</t>
  </si>
  <si>
    <t>Dropdown Controls</t>
  </si>
  <si>
    <t>Painted Bottom - Steam Only</t>
  </si>
  <si>
    <t>TOTAL</t>
  </si>
  <si>
    <t>Notes:</t>
  </si>
  <si>
    <t>Material</t>
  </si>
  <si>
    <t>P/N</t>
  </si>
  <si>
    <t>Price</t>
  </si>
  <si>
    <t>Merc OB Parts &lt;125</t>
  </si>
  <si>
    <t>Merc OB Parts &gt;125</t>
  </si>
  <si>
    <t>Yamaha Parts &lt;125</t>
  </si>
  <si>
    <t>Yamaha Parts &gt;125</t>
  </si>
  <si>
    <t>Volvo Ash Oil - 1L</t>
  </si>
  <si>
    <t>Volvo Ash Oil - 4L</t>
  </si>
  <si>
    <t>Volvo Synth Oil - 1L</t>
  </si>
  <si>
    <t>Volvo Synth Oil - 4L</t>
  </si>
  <si>
    <t>Volvo Spin-on Filter</t>
  </si>
  <si>
    <t>Volvo Cart Filter</t>
  </si>
  <si>
    <t>Engine Oil Filters</t>
  </si>
  <si>
    <t>Engine Oil</t>
  </si>
  <si>
    <t>Engine Oil Change Parts Summary</t>
  </si>
  <si>
    <t>Cyl</t>
  </si>
  <si>
    <t>Drive Service Parts</t>
  </si>
  <si>
    <t>Merc Alpha</t>
  </si>
  <si>
    <t>Merc Bravo</t>
  </si>
  <si>
    <t>Volvo SX</t>
  </si>
  <si>
    <t>Volvo DP</t>
  </si>
  <si>
    <t>Merc Alpha Service</t>
  </si>
  <si>
    <t>Merc Bravo Service</t>
  </si>
  <si>
    <t>Volvo SX Service</t>
  </si>
  <si>
    <t>Volvo DP Service</t>
  </si>
  <si>
    <t>Merc Alpha Oil Change</t>
  </si>
  <si>
    <t>Merc Bravo Oil Change</t>
  </si>
  <si>
    <t>Volvo SX Oil Change</t>
  </si>
  <si>
    <t>Volvo DP Oil Change</t>
  </si>
  <si>
    <t># of Cylinders</t>
  </si>
  <si>
    <t>Boat Name</t>
  </si>
  <si>
    <t>Key Location</t>
  </si>
  <si>
    <t>Other I/O</t>
  </si>
  <si>
    <t>Gas Engine - Standard</t>
  </si>
  <si>
    <t>Merc IB Ash Oil - 4L</t>
  </si>
  <si>
    <t>Merc IB Ash Oil - 1L</t>
  </si>
  <si>
    <t>Merc OB Syn Oil - 4L</t>
  </si>
  <si>
    <t>Merc OB Syn Oil - 1L</t>
  </si>
  <si>
    <t>Volvo Gas 6CYL Ash</t>
  </si>
  <si>
    <t>Volvo Gas 4CYL Ash</t>
  </si>
  <si>
    <t>Volvo Gas 8CYL Ash</t>
  </si>
  <si>
    <t>Volvo Gas 4CYL Syn</t>
  </si>
  <si>
    <t>Volvo Gas 8CYL Syn</t>
  </si>
  <si>
    <t>Volvo Gas 6CYL Syn</t>
  </si>
  <si>
    <t>Yamalube - 1L</t>
  </si>
  <si>
    <t>n/a</t>
  </si>
  <si>
    <t>Merc IB Synth - 4L</t>
  </si>
  <si>
    <t>Merc IB Synth - 1L</t>
  </si>
  <si>
    <t>Merc IB 4CYL Ash</t>
  </si>
  <si>
    <t>Merc IB 6CYL Ash</t>
  </si>
  <si>
    <t>Merc IB 8CYL Ash</t>
  </si>
  <si>
    <t>Gas Engine - Synthetic*</t>
  </si>
  <si>
    <t>Merc IB 4Cyl Synth</t>
  </si>
  <si>
    <t>Merc IB 6 Cyl Synth</t>
  </si>
  <si>
    <t>Merc I/B 8 Cyl Synth</t>
  </si>
  <si>
    <t>92-858055kc1</t>
  </si>
  <si>
    <t>92-858056kc1</t>
  </si>
  <si>
    <t>Name</t>
  </si>
  <si>
    <t>SUB-TOTAL</t>
  </si>
  <si>
    <t>JOB SUB-TOTAL</t>
  </si>
  <si>
    <t>OTHER</t>
  </si>
  <si>
    <t>TOTAL W/TAX</t>
  </si>
  <si>
    <t>13% HST - R833926280</t>
  </si>
  <si>
    <t>Up to 19'</t>
  </si>
  <si>
    <t>22'</t>
  </si>
  <si>
    <t>23'</t>
  </si>
  <si>
    <t>Pick-up or Drop-Off</t>
  </si>
  <si>
    <t>Delivery</t>
  </si>
  <si>
    <t>Marina Pick-up</t>
  </si>
  <si>
    <t>Customer Drop-off</t>
  </si>
  <si>
    <t>(dd/mm/yyyy)</t>
  </si>
  <si>
    <t>Pick-up Zone</t>
  </si>
  <si>
    <t>P/U Zone</t>
  </si>
  <si>
    <t>Zone 1: 01-20KM</t>
  </si>
  <si>
    <t>Zone 2: 21-40KM</t>
  </si>
  <si>
    <t>Zone 3: 41-60KM</t>
  </si>
  <si>
    <t>Zone 4: 61-80KM</t>
  </si>
  <si>
    <t>Zone 5: 81-100KM</t>
  </si>
  <si>
    <t>Zone 6: 101KM or More</t>
  </si>
  <si>
    <t>Zone</t>
  </si>
  <si>
    <t>Pick-Up Zone 1</t>
  </si>
  <si>
    <t>Pick-Up Zone 2</t>
  </si>
  <si>
    <t>Pick-Up Zone 3</t>
  </si>
  <si>
    <t>01-20KM</t>
  </si>
  <si>
    <t>21-40KM</t>
  </si>
  <si>
    <t>41-60KM</t>
  </si>
  <si>
    <t>61-80KM</t>
  </si>
  <si>
    <t>81-100KM</t>
  </si>
  <si>
    <t>Pick-Up Zone 4</t>
  </si>
  <si>
    <t>Pick-Up Zone 5</t>
  </si>
  <si>
    <t>Pick-Up Zone 6</t>
  </si>
  <si>
    <t>101KM +</t>
  </si>
  <si>
    <t>Engine HP</t>
  </si>
  <si>
    <t>Sterndrive Lock (Mandatory)</t>
  </si>
  <si>
    <t>Yam OB Filter &lt;125</t>
  </si>
  <si>
    <t>Yam OB Filter &gt;125</t>
  </si>
  <si>
    <t>Merc OB Oil Change</t>
  </si>
  <si>
    <t>Lower Unit Oil Change Parts</t>
  </si>
  <si>
    <t>Yam OB Oil Change</t>
  </si>
  <si>
    <t>Outboard Gear Oil Change</t>
  </si>
  <si>
    <t>Sterndrive Gear Oil Change</t>
  </si>
  <si>
    <t>Fall Date Request</t>
  </si>
  <si>
    <t>Spring Date Request</t>
  </si>
  <si>
    <t>4. ENGINE OIL CHANGE</t>
  </si>
  <si>
    <t>Ballast Tank</t>
  </si>
  <si>
    <t>Livewell</t>
  </si>
  <si>
    <t xml:space="preserve">Fresh Water System </t>
  </si>
  <si>
    <t>Washdown Pump</t>
  </si>
  <si>
    <t>A) Spring Clean - Basic</t>
  </si>
  <si>
    <t>Flat Rate</t>
  </si>
  <si>
    <t>Per Ft LOA</t>
  </si>
  <si>
    <t>No Charge</t>
  </si>
  <si>
    <t>Price/Gal</t>
  </si>
  <si>
    <t>Amt</t>
  </si>
  <si>
    <t>Qty</t>
  </si>
  <si>
    <t>B) Spring Clean - Standard</t>
  </si>
  <si>
    <t>C) Spring Clean - Deluxe</t>
  </si>
  <si>
    <t>D) Steam Clean Ext Carpet</t>
  </si>
  <si>
    <r>
      <t>C) Spring Clean - Deluxe:</t>
    </r>
    <r>
      <rPr>
        <sz val="7"/>
        <rFont val="Arial"/>
        <family val="2"/>
      </rPr>
      <t xml:space="preserve"> All items incl in Standard plus clean in all compartment, remove cockpit carpet, pressure wash cockpit floor, apply UV protectant to vinyl surfaces and pressure wash bilge and ski locker(s)</t>
    </r>
  </si>
  <si>
    <r>
      <t xml:space="preserve">D) Steam Clean Exterior Carpet: </t>
    </r>
    <r>
      <rPr>
        <sz val="7"/>
        <rFont val="Arial"/>
        <family val="2"/>
      </rPr>
      <t>Remove snap-in carpets, steam clean on shop floor, hang to dry &amp; reinstall in boat</t>
    </r>
  </si>
  <si>
    <r>
      <t>E) Hand Wax - Hull &amp; Deck:</t>
    </r>
    <r>
      <rPr>
        <sz val="7"/>
        <rFont val="Arial"/>
        <family val="2"/>
      </rPr>
      <t xml:space="preserve"> Apply UV wax to hull and deck and hand polish</t>
    </r>
  </si>
  <si>
    <r>
      <t>A) Spring Clean - Basic:</t>
    </r>
    <r>
      <rPr>
        <sz val="7"/>
        <rFont val="Arial"/>
        <family val="2"/>
      </rPr>
      <t xml:space="preserve"> Pressure wash exterior only to remove winter dust</t>
    </r>
  </si>
  <si>
    <t>SERVICE ESTIMATES</t>
  </si>
  <si>
    <r>
      <t xml:space="preserve">7. </t>
    </r>
    <r>
      <rPr>
        <b/>
        <sz val="8"/>
        <rFont val="Arial"/>
        <family val="2"/>
      </rPr>
      <t>BATTERY SERVICE</t>
    </r>
    <r>
      <rPr>
        <sz val="8"/>
        <rFont val="Arial"/>
        <family val="2"/>
      </rPr>
      <t xml:space="preserve">  According to battery manufacturer recommendations, batteries are topped-up with electrolyte (as applicable), charged, load tested, disconnected and left onboard for winter.  Only if a battery fails a load test will it be removed from the boat to avoid freezing - additional charges will apply.</t>
    </r>
  </si>
  <si>
    <r>
      <t xml:space="preserve">2. </t>
    </r>
    <r>
      <rPr>
        <b/>
        <sz val="8"/>
        <rFont val="Arial"/>
        <family val="2"/>
      </rPr>
      <t>KEYS</t>
    </r>
    <r>
      <rPr>
        <sz val="8"/>
        <rFont val="Arial"/>
        <family val="2"/>
      </rPr>
      <t xml:space="preserve"> You must leave ignition and cabin door keys, as applicable, with the marina at time of delivery.  A minimum $100 surcharge will be added to your invoice if we must handle or winterize your boat without keys.</t>
    </r>
  </si>
  <si>
    <t>, 20</t>
  </si>
  <si>
    <t>35-866340Q03</t>
  </si>
  <si>
    <t>92-8M0078633</t>
  </si>
  <si>
    <t>92-8M0078634</t>
  </si>
  <si>
    <t>35-877769K01</t>
  </si>
  <si>
    <t>92-8M0053662</t>
  </si>
  <si>
    <t>20'</t>
  </si>
  <si>
    <t>21'</t>
  </si>
  <si>
    <t>24'</t>
  </si>
  <si>
    <t>25'</t>
  </si>
  <si>
    <t>26'</t>
  </si>
  <si>
    <t>27'</t>
  </si>
  <si>
    <t>Platinum Package</t>
  </si>
  <si>
    <t>$/Ft</t>
  </si>
  <si>
    <t>Upgrade to Platinum Pkg</t>
  </si>
  <si>
    <r>
      <t>F) Buff &amp; Wax - Hull &amp; Deck:</t>
    </r>
    <r>
      <rPr>
        <sz val="7"/>
        <rFont val="Arial"/>
        <family val="2"/>
      </rPr>
      <t xml:space="preserve"> Apply compound, machine polish to remove moderate oxidation &amp; light scratches then apply UV wax and hand polish.  Heavy oxidation and fender chafe may require wet sanding and/or multi-stage compound,; both of which available at additional cost by quote only</t>
    </r>
  </si>
  <si>
    <t>92-8M0078640</t>
  </si>
  <si>
    <t>YMR-4MIDW-30-LT</t>
  </si>
  <si>
    <t>AMOUNT</t>
  </si>
  <si>
    <t>No Bottom Wash Required</t>
  </si>
  <si>
    <t>Mercury Bravo I,II,III</t>
  </si>
  <si>
    <t>Transmission Oil Change</t>
  </si>
  <si>
    <t>4-Stroke Outboard</t>
  </si>
  <si>
    <t>Diagnostic Scan - Gas</t>
  </si>
  <si>
    <t>6. IMPELLER SERVICE</t>
  </si>
  <si>
    <t>7. LOWER UNIT / TRANSMISSION SERVICE</t>
  </si>
  <si>
    <t>8. SYSTEMS WINTERIZE</t>
  </si>
  <si>
    <t>9. RUNABOUT  DETAILING</t>
  </si>
  <si>
    <t>A clean hull means better fuel economy and no ugly stains. Painted bottoms only require steam cleaning while unpainted bottoms require steam cleaning plus chemical treatment. Labour and materials included.</t>
  </si>
  <si>
    <t>For long-term reliability, regular stern drive / transmission maintenance is critical.  Most manufactures recommend changing the gear / transmission oil once a year.  Full stern drive service is recommended every 2 years and includes: remove drive; inspect gimbal bearing, u-joints, bellows, hoses, and anodes; drain gear oil; pressure test; refill gear oil; check engine alignment; reinstall drive with new gaskets and seals.   Crate’s stern drive / transmission service procedures are warranty-approved, using top-quality OEM filters and lubricants. Labour only, materials extra.</t>
  </si>
  <si>
    <t>When winterizing your systems, Crate’s utilizes a combination of compressed air and non-toxic antifreeze.  We don’t just fill your boat full of antifreeze.  In fact, we go out of our way to minimize the amount of antifreeze needed to protect your equipment properly while reducing chemical odors in your boat and protecting the environment. Labour only, materials extra.</t>
  </si>
  <si>
    <r>
      <t>1. RUNABOUT STORAGE</t>
    </r>
    <r>
      <rPr>
        <b/>
        <sz val="6"/>
        <color theme="0"/>
        <rFont val="Arial"/>
        <family val="2"/>
      </rPr>
      <t xml:space="preserve"> (LOA)</t>
    </r>
  </si>
  <si>
    <r>
      <t>2. BOTTOM WASHING</t>
    </r>
    <r>
      <rPr>
        <b/>
        <sz val="6"/>
        <color theme="0"/>
        <rFont val="Arial"/>
        <family val="2"/>
      </rPr>
      <t xml:space="preserve"> (Per Ft LOA)</t>
    </r>
  </si>
  <si>
    <r>
      <t>3. PICK-UP BY TRUCK</t>
    </r>
    <r>
      <rPr>
        <b/>
        <sz val="6"/>
        <color theme="0"/>
        <rFont val="Arial"/>
        <family val="2"/>
      </rPr>
      <t xml:space="preserve"> (Max 24')</t>
    </r>
  </si>
  <si>
    <t>UNLESS OTHERWISE SPECIFIED, ALL PRICES ARE FOR LABOUR ONLY. PARTS AND MATERIALS ARE EXTRA AND WILL BE BILLED BASED ON ACTUAL QUANTITIES USED.</t>
  </si>
  <si>
    <t>Basic engine winterization is included with all runabout packages and includes, as applicable: haul out vessel from water or remove from trailer; add fuel stabilizer to the fuel tank; remove plugs and drain water from block, manifolds, exhaust, coolers, mufflers, etc; reinstall plugs and flush engine with antifreeze; replace fuel filter; fog engine with storage seal mixture (except engines where fogging is not  recommended by manufacturer); battery service with load test; spring start-up and basic exterior wash.  If we are delivering your boat to you next spring, it is recommended that Crate's sea trial the boat for you prior to delivery, in which case an additional $65 surcharge will apply.</t>
  </si>
  <si>
    <t>Keeping your boat shiny, clean and protected against UV damage shows pride of ownership and protects your investment.  Regular detailing, including buffing and waxing makes it easy to keep you boat looking great all summer.  Winter is the perfect time to have Crate’s do this work for you so you don’t miss a day of boating. From a major 3-stage compound, buff and polish to a simple top coat of wax, Crate’s has just the package you need.</t>
  </si>
  <si>
    <t>Mercury Alpha (w/drive svc)</t>
  </si>
  <si>
    <t>Your water pump impeller keeps your engine cool by circulating water through it, but the rubber impeller degrades over time.  Failed impellers are the primary cause of overheating and catastrophic engine failure.  For safe and reliable operation, most manufacturers recommend replacing your impeller at least every 2 years. Labour and materials included.</t>
  </si>
  <si>
    <r>
      <t xml:space="preserve">4. </t>
    </r>
    <r>
      <rPr>
        <b/>
        <sz val="8"/>
        <rFont val="Arial"/>
        <family val="2"/>
      </rPr>
      <t xml:space="preserve">SHRINKWRAP </t>
    </r>
    <r>
      <rPr>
        <sz val="8"/>
        <rFont val="Arial"/>
        <family val="2"/>
      </rPr>
      <t xml:space="preserve">Customers are not permitted to tarp or shrink wrap their boat on marina property. </t>
    </r>
  </si>
  <si>
    <t>5. COMPUTER ENGINE DIAGNOSTICS</t>
  </si>
  <si>
    <t>Cell</t>
  </si>
  <si>
    <t>Work</t>
  </si>
  <si>
    <t>Scan engine for fault codes, check for recalls and service bulletins, update software if available.</t>
  </si>
  <si>
    <t>Say goodbye to the hassle of towing your boat in for service. Let Crate's do it for you. We make fall pickup of your boat easy by arranging to meet you at your local launch ramp.  Rates are for transportation by truck and trailer with one driver.  For water pickups requiring another driver, additional charges will apply.  Spring delivery is not included and will be billed separately.</t>
  </si>
  <si>
    <t>Fall is the perfect time to do annual oil and filter changes so dirty oil and contaminants are not left sitting in your engine all winter.  Crate’s engine oil change procedures are warranty-approved, using top-quality OEM filters and lubricants.   Labour only, materials extra.</t>
  </si>
  <si>
    <r>
      <t xml:space="preserve">9. </t>
    </r>
    <r>
      <rPr>
        <b/>
        <sz val="8"/>
        <rFont val="Arial"/>
        <family val="2"/>
      </rPr>
      <t>OIL CHANGES</t>
    </r>
    <r>
      <rPr>
        <sz val="8"/>
        <rFont val="Arial"/>
        <family val="2"/>
      </rPr>
      <t xml:space="preserve">  The marina follows manufacturer's recommendations for winterizing procedures, including oil changes.  Subject to availability we only use OEM parts and lubricants.  If you are unsure whether ash-based oil or synthetic oil is recommended for your engine, please speak to our service staff for guidance.  Oil change parts/materials are additional and will be billed according to the quantities used.</t>
    </r>
  </si>
  <si>
    <r>
      <t xml:space="preserve">3. </t>
    </r>
    <r>
      <rPr>
        <b/>
        <sz val="8"/>
        <rFont val="Arial"/>
        <family val="2"/>
      </rPr>
      <t>FUEL</t>
    </r>
    <r>
      <rPr>
        <sz val="8"/>
        <rFont val="Arial"/>
        <family val="2"/>
      </rPr>
      <t xml:space="preserve"> We recommend that you store your boat with minimal fuel in the tank; however we must have sufficient fuel to run the boat for approx 30 minutes.  If we must add fuel to winterize your boat properly you will be charged the cost of the fuel plus the additional labour required to tow and/or fill your boat with sufficient fuel.</t>
    </r>
  </si>
  <si>
    <r>
      <t xml:space="preserve">10. </t>
    </r>
    <r>
      <rPr>
        <b/>
        <sz val="8"/>
        <rFont val="Arial"/>
        <family val="2"/>
      </rPr>
      <t>MANDATORY STERNDRIVE LOCKS</t>
    </r>
    <r>
      <rPr>
        <sz val="8"/>
        <rFont val="Arial"/>
        <family val="2"/>
      </rPr>
      <t xml:space="preserve"> All sterndrive powered boats stored with the Marina must be equipped with a sterndrive lock(s) unless the owner chooses indoor sterndrive storage; in which case a lock is not required.  If your drive does not have a lock installed, we will install one for you and the cost of the lock will be added to your invoice.</t>
    </r>
  </si>
  <si>
    <r>
      <t xml:space="preserve">11. </t>
    </r>
    <r>
      <rPr>
        <b/>
        <sz val="8"/>
        <rFont val="Arial"/>
        <family val="2"/>
      </rPr>
      <t>TRAILERS</t>
    </r>
    <r>
      <rPr>
        <sz val="8"/>
        <rFont val="Arial"/>
        <family val="2"/>
      </rPr>
      <t xml:space="preserve"> If your boat is delivered to us on a its own trailer there will be no additional charge for winter trailer storage.  If your trailer is left with us in the spring, trailer storage will be charged at $55.00 per month, plus tax, after May 31st.  Trailer maintenance and/or service is not included in your winterizing services.</t>
    </r>
  </si>
  <si>
    <r>
      <t xml:space="preserve">12. </t>
    </r>
    <r>
      <rPr>
        <b/>
        <sz val="8"/>
        <rFont val="Arial"/>
        <family val="2"/>
      </rPr>
      <t>CLEANING</t>
    </r>
    <r>
      <rPr>
        <sz val="8"/>
        <rFont val="Arial"/>
        <family val="2"/>
      </rPr>
      <t xml:space="preserve"> All runabout packages include basic spring cleaning, which includes pressure washing only of your boat's exterior to remove winter dust.  Additional cleaning is available at the rates quoted herein.  To ensure that your boat is ready on time in the spring, all additional cleaning should be ordered in the fall.</t>
    </r>
  </si>
  <si>
    <r>
      <t xml:space="preserve">13. </t>
    </r>
    <r>
      <rPr>
        <b/>
        <sz val="8"/>
        <rFont val="Arial"/>
        <family val="2"/>
      </rPr>
      <t>ADDITIONAL SERVICE WORK</t>
    </r>
    <r>
      <rPr>
        <sz val="8"/>
        <rFont val="Arial"/>
        <family val="2"/>
      </rPr>
      <t xml:space="preserve"> Our service team is happy to assist you with any additional service or repair work that may be required for your boat.  In order that we may work on your boat over the winter it will need to be stored it in a location that allows us ready access.  If you are contemplating winter service work, please advise us of this in the fall when your boat is delivered to us for winterizing.  Additional work can be requested in the Notes section of the Winterizing Worksheet or by selecting various options on our Winter Services Menu.  Booking your service work in the fall ensures you receive the most competitive off-season pricing and allows us to do the work without interfering with your boating season.</t>
    </r>
  </si>
  <si>
    <r>
      <t xml:space="preserve">15. </t>
    </r>
    <r>
      <rPr>
        <b/>
        <sz val="8"/>
        <rFont val="Arial"/>
        <family val="2"/>
      </rPr>
      <t>TAXES</t>
    </r>
    <r>
      <rPr>
        <sz val="8"/>
        <rFont val="Arial"/>
        <family val="2"/>
      </rPr>
      <t xml:space="preserve">  All applicable taxes are extra and will be added to your final winterizing Repair Order.</t>
    </r>
  </si>
  <si>
    <r>
      <t xml:space="preserve">16. </t>
    </r>
    <r>
      <rPr>
        <b/>
        <sz val="8"/>
        <rFont val="Arial"/>
        <family val="2"/>
      </rPr>
      <t>SPRING PICKUP</t>
    </r>
    <r>
      <rPr>
        <sz val="8"/>
        <rFont val="Arial"/>
        <family val="2"/>
      </rPr>
      <t xml:space="preserve"> As Owner, you are are responsible to advise the Marina, at time of drop-off, of your desired spring pick-up / delivery date.  Spring pickups / deliveries are scheduled on a first-come, first-served basis and are weather dependant.  For boats that are picked-up at the Marina, it is the Owner's responsibility to ensure the boat is securely loaded and strapped-down on the trailer; all loose items, including canvas, are removed and/or stowed; the hull plug is in; the trailer is in good working condition, including tires, bearings, brakes and lights (the Marina does not service trailers as part of winterizing services); and, the trailer is properley connected to your tow vehicle.</t>
    </r>
  </si>
  <si>
    <r>
      <t>17.</t>
    </r>
    <r>
      <rPr>
        <b/>
        <sz val="8"/>
        <rFont val="Arial"/>
        <family val="2"/>
      </rPr>
      <t xml:space="preserve"> DISCLAIMER</t>
    </r>
    <r>
      <rPr>
        <sz val="8"/>
        <rFont val="Arial"/>
        <family val="2"/>
      </rPr>
      <t xml:space="preserve"> The Marina assumes no responsibility whatsoever for damage to equipment not winterized by the Marina.  It is the boat owners responsibility to completely and accurately inform the Marina of all winterizing that may be required and to deliver the Boat to the Marina for service well in advance freeze-up.  The Marina assumes no responsibility for pre-existing damage.</t>
    </r>
  </si>
  <si>
    <t>2021 Rate</t>
  </si>
  <si>
    <t>39 / Ft</t>
  </si>
  <si>
    <t>E) Hand Wax Hull / Deck to 24'</t>
  </si>
  <si>
    <t>F) Hand Wax Hull / Deck &gt;24'</t>
  </si>
  <si>
    <t>G) Buff &amp; Wax - Hull / Deck</t>
  </si>
  <si>
    <t>$      42 / Ft</t>
  </si>
  <si>
    <r>
      <t xml:space="preserve">6. </t>
    </r>
    <r>
      <rPr>
        <b/>
        <sz val="8"/>
        <rFont val="Arial"/>
        <family val="2"/>
      </rPr>
      <t>ENGINE WINTERIZING</t>
    </r>
    <r>
      <rPr>
        <sz val="8"/>
        <rFont val="Arial"/>
        <family val="2"/>
      </rPr>
      <t xml:space="preserve"> Basic engine winterization is included with all runabout packages and includes, as applicable: haul out vessel from water or remove from trailer; add fuel stabilizer to the fuel tank; remove plugs and drain water from block, manifolds, exhaust, coolers, mufflers, etc; reinstall plugs and flush engine with antifreeze; replace fuel filter; fog engine with storage seal mixture (except engines where fogging is not  recommended by manufacturer); battery service with load test; spring start-up and basic exterior wash.  If we are delivering your boat to you next spring, it is recommended that Crate's sea trial the boat for you prior to delivery, in which case an additional $75 surcharge will apply.</t>
    </r>
  </si>
  <si>
    <r>
      <t xml:space="preserve">14. </t>
    </r>
    <r>
      <rPr>
        <b/>
        <sz val="8"/>
        <rFont val="Arial"/>
        <family val="2"/>
      </rPr>
      <t>STORAGE PERIOD</t>
    </r>
    <r>
      <rPr>
        <sz val="8"/>
        <rFont val="Arial"/>
        <family val="2"/>
      </rPr>
      <t xml:space="preserve"> The Runabout Storage pricing provided herein includes storage through May 31, 2023 only.  If your boat is left with us beyond this date you will be charged monthly summer storage at the Marina's then current rates.</t>
    </r>
  </si>
  <si>
    <t>Insurance Co</t>
  </si>
  <si>
    <t>Policy Number</t>
  </si>
  <si>
    <t>Policy #</t>
  </si>
  <si>
    <t>CREDIT CARD AUTHORIZATION FORM</t>
  </si>
  <si>
    <t>To</t>
  </si>
  <si>
    <t>Crate's Lake Country Boats</t>
  </si>
  <si>
    <t xml:space="preserve">Fax Number                           </t>
  </si>
  <si>
    <t>Attention</t>
  </si>
  <si>
    <t>Date (yyyy/mm/dd)</t>
  </si>
  <si>
    <t>705-327-7036</t>
  </si>
  <si>
    <t>Service Department</t>
  </si>
  <si>
    <t>Name as it Appears on Credit Card</t>
  </si>
  <si>
    <t xml:space="preserve">Street Address </t>
  </si>
  <si>
    <t>City</t>
  </si>
  <si>
    <t>Province</t>
  </si>
  <si>
    <t>Postal Code</t>
  </si>
  <si>
    <t>Phone</t>
  </si>
  <si>
    <t>Fax</t>
  </si>
  <si>
    <t>I,</t>
  </si>
  <si>
    <t>hereby authorize</t>
  </si>
  <si>
    <t xml:space="preserve"> Crate's Lake Country Boats Inc.</t>
  </si>
  <si>
    <t>to charge my:</t>
  </si>
  <si>
    <t>VISA</t>
  </si>
  <si>
    <t>Mastercard</t>
  </si>
  <si>
    <t>Credit Card Number</t>
  </si>
  <si>
    <t>Expiry Date (mm/yy)</t>
  </si>
  <si>
    <t>3 Digit CCV Security Code</t>
  </si>
  <si>
    <t>Charge Description / Invoice Number</t>
  </si>
  <si>
    <t>Amount</t>
  </si>
  <si>
    <t>Estimated Winterizing Labour (including tax)</t>
  </si>
  <si>
    <t>$</t>
  </si>
  <si>
    <t>Winterization Parts Extra - TBD</t>
  </si>
  <si>
    <t>Total Authorized Charges</t>
  </si>
  <si>
    <t>IMPORTANT - For security reasons, please DO NOT email any credit card information to us</t>
  </si>
  <si>
    <t>V1.03 20090620</t>
  </si>
  <si>
    <t>Volvo Surf</t>
  </si>
  <si>
    <t>Volvo SX, DP, Surf</t>
  </si>
  <si>
    <t>IMPORTANT: Spring pickup/delivery dates must be booked in the fall. If you do not specify a date the Marina will assign one for you. Spring dates are available on a first-come basis.  Boats not picked-up on time will be charged a $150 handling fee.</t>
  </si>
  <si>
    <t>I have read &amp; clearly understand this Agreement &amp; confirm that I have the authority to sign it.  I acknowledge this date having received a copy of the Agreement.</t>
  </si>
  <si>
    <t>Platinum Package upgrade includes: compound, buff &amp; wax hull and deck, deluxe interior detailing and steamclean carpet.  If wet sanding is required, additional charges will apply.  Platinum pricing is available only when booked at time of winterization.</t>
  </si>
  <si>
    <r>
      <t>9. AUTHORITY OF CORPORATION TO EXECUTE AGREEMENT</t>
    </r>
    <r>
      <rPr>
        <sz val="7"/>
        <color indexed="8"/>
        <rFont val="Arial"/>
        <family val="2"/>
      </rPr>
      <t xml:space="preserve">  If the Owner is a corporation:
(a) The person signing this Agreement hereby acknowledges that he or she has the authority to bind the corporation; and (b) The Owner has all necessary corporate power, authority &amp; capacity to enter into this Agreement and to perform its obligations under this Agreement; and (c) The execution &amp; delivery of this Agreement &amp; the consummation of the transaction contemplated under it have been duly authorized by all necessary corporate actions on the part of the Owner.</t>
    </r>
  </si>
  <si>
    <r>
      <t xml:space="preserve">2. WAIVER OF LIABILITY </t>
    </r>
    <r>
      <rPr>
        <sz val="7"/>
        <color indexed="8"/>
        <rFont val="Arial"/>
        <family val="2"/>
      </rPr>
      <t>(a) The Owner acknowledges that the Marina does not assume any duty to care for the Equipment or to prevent loss or damage thereto while the same is under the control &amp; direction of the Marina, or is on the Marina’s premises; and (b) Except for the gross negligence or fraud of the Marina, the Owner hereby releases the Marina from liability for any damage, expense, or loss to the Equipment however caused, by the Marina, its employees, agents or representatives, or otherwise, while the Equipment is under the control and direction of the Marina, or are on the Marina’s premises. The Owner hereby releases and discharges the Marina, its employees, agents or representatives from all actions, causes of action, claims and demands in any way related to this Agreement; and (c) The Owner hereby agrees to reimburse or indemnify the Marina for any damages caused to any property of the Marina, &amp; for any sums required to be paid to anyone by the Marina, its agents, or representatives as the result of the use of or presence on the Marina premises of the Owner and/or the Equipment.</t>
    </r>
  </si>
  <si>
    <r>
      <t xml:space="preserve">7. NO DUTY TO INSPECT OR MAINTAIN </t>
    </r>
    <r>
      <rPr>
        <sz val="7"/>
        <color indexed="8"/>
        <rFont val="Arial"/>
        <family val="2"/>
      </rPr>
      <t>(a) The Marina shall have no obligation to inspect or provide maintenance or repair to Equipment except as authorized &amp; directed by the Owner pursuant to this Agreement; and (b) The Marina shall have no obligation to maintain or repair the covering or shrink wrapping that has been applied to the Equipment by the Marina; and  (c) The Marina shall have no obligation to notify the Owner of the necessity for any maintenance or repairs of the Equipment during the duration of this Agreement</t>
    </r>
  </si>
  <si>
    <t>Expiry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</si>
</sst>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 #,##0.00_);_(* \(#,##0.00\);_(* &quot;-&quot;??_);_(@_)"/>
    <numFmt numFmtId="165" formatCode="0.0"/>
    <numFmt numFmtId="166" formatCode="_-* #,##0.0_-;\-* #,##0.0_-;_-* &quot;-&quot;?_-;_-@_-"/>
    <numFmt numFmtId="167" formatCode="0.0_ ;\-0.0\ "/>
    <numFmt numFmtId="168" formatCode="dd/mm/yyyy;@"/>
  </numFmts>
  <fonts count="29" x14ac:knownFonts="1">
    <font>
      <sz val="10"/>
      <name val="Arial"/>
    </font>
    <font>
      <sz val="10"/>
      <name val="Arial"/>
      <family val="2"/>
    </font>
    <font>
      <sz val="8"/>
      <name val="Arial"/>
      <family val="2"/>
    </font>
    <font>
      <sz val="8"/>
      <color indexed="8"/>
      <name val="Arial"/>
      <family val="2"/>
    </font>
    <font>
      <b/>
      <sz val="8"/>
      <name val="Arial"/>
      <family val="2"/>
    </font>
    <font>
      <b/>
      <sz val="8"/>
      <name val="Arial"/>
      <family val="2"/>
    </font>
    <font>
      <sz val="8"/>
      <name val="Arial"/>
      <family val="2"/>
    </font>
    <font>
      <b/>
      <sz val="8"/>
      <color indexed="8"/>
      <name val="Arial"/>
      <family val="2"/>
    </font>
    <font>
      <sz val="8"/>
      <color indexed="8"/>
      <name val="Arial"/>
      <family val="2"/>
    </font>
    <font>
      <sz val="6"/>
      <name val="Arial"/>
      <family val="2"/>
    </font>
    <font>
      <sz val="6"/>
      <color indexed="8"/>
      <name val="Arial"/>
      <family val="2"/>
    </font>
    <font>
      <sz val="7"/>
      <name val="Arial"/>
      <family val="2"/>
    </font>
    <font>
      <sz val="6"/>
      <name val="Arial"/>
      <family val="2"/>
    </font>
    <font>
      <b/>
      <sz val="12"/>
      <color indexed="8"/>
      <name val="Tahoma"/>
      <family val="2"/>
    </font>
    <font>
      <b/>
      <sz val="7"/>
      <name val="Arial"/>
      <family val="2"/>
    </font>
    <font>
      <sz val="7"/>
      <name val="Arial"/>
      <family val="2"/>
    </font>
    <font>
      <b/>
      <sz val="12"/>
      <name val="Tahoma"/>
      <family val="2"/>
    </font>
    <font>
      <sz val="7"/>
      <color indexed="8"/>
      <name val="Arial"/>
      <family val="2"/>
    </font>
    <font>
      <b/>
      <sz val="7"/>
      <color indexed="8"/>
      <name val="Arial"/>
      <family val="2"/>
    </font>
    <font>
      <sz val="8"/>
      <color theme="0"/>
      <name val="Arial"/>
      <family val="2"/>
    </font>
    <font>
      <sz val="7.5"/>
      <name val="Arial"/>
      <family val="2"/>
    </font>
    <font>
      <b/>
      <sz val="8"/>
      <color theme="0"/>
      <name val="Arial"/>
      <family val="2"/>
    </font>
    <font>
      <b/>
      <sz val="6"/>
      <color theme="0"/>
      <name val="Arial"/>
      <family val="2"/>
    </font>
    <font>
      <sz val="7"/>
      <color theme="0"/>
      <name val="Arial"/>
      <family val="2"/>
    </font>
    <font>
      <b/>
      <sz val="14"/>
      <name val="Arial"/>
      <family val="2"/>
    </font>
    <font>
      <b/>
      <sz val="9"/>
      <name val="Arial"/>
      <family val="2"/>
    </font>
    <font>
      <b/>
      <sz val="12"/>
      <name val="Arial"/>
      <family val="2"/>
    </font>
    <font>
      <b/>
      <sz val="10"/>
      <name val="Arial"/>
      <family val="2"/>
    </font>
    <font>
      <sz val="9"/>
      <name val="Arial"/>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1" tint="0.14999847407452621"/>
        <bgColor indexed="64"/>
      </patternFill>
    </fill>
  </fills>
  <borders count="20">
    <border>
      <left/>
      <right/>
      <top/>
      <bottom/>
      <diagonal/>
    </border>
    <border>
      <left/>
      <right/>
      <top style="thin">
        <color indexed="22"/>
      </top>
      <bottom style="thin">
        <color indexed="22"/>
      </bottom>
      <diagonal/>
    </border>
    <border>
      <left/>
      <right/>
      <top/>
      <bottom style="thin">
        <color indexed="22"/>
      </bottom>
      <diagonal/>
    </border>
    <border>
      <left/>
      <right/>
      <top style="thin">
        <color indexed="64"/>
      </top>
      <bottom style="thin">
        <color indexed="22"/>
      </bottom>
      <diagonal/>
    </border>
    <border>
      <left/>
      <right/>
      <top/>
      <bottom style="thin">
        <color indexed="64"/>
      </bottom>
      <diagonal/>
    </border>
    <border>
      <left/>
      <right/>
      <top style="thin">
        <color indexed="64"/>
      </top>
      <bottom style="medium">
        <color indexed="64"/>
      </bottom>
      <diagonal/>
    </border>
    <border>
      <left/>
      <right/>
      <top style="thin">
        <color indexed="22"/>
      </top>
      <bottom/>
      <diagonal/>
    </border>
    <border>
      <left/>
      <right/>
      <top style="thin">
        <color indexed="64"/>
      </top>
      <bottom style="thin">
        <color indexed="64"/>
      </bottom>
      <diagonal/>
    </border>
    <border>
      <left/>
      <right/>
      <top style="thin">
        <color indexed="64"/>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bottom style="thin">
        <color theme="1"/>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ck">
        <color indexed="64"/>
      </bottom>
      <diagonal/>
    </border>
  </borders>
  <cellStyleXfs count="3">
    <xf numFmtId="0" fontId="0" fillId="0" borderId="0"/>
    <xf numFmtId="44" fontId="1" fillId="0" borderId="0" applyFont="0" applyFill="0" applyBorder="0" applyAlignment="0" applyProtection="0"/>
    <xf numFmtId="164" fontId="1" fillId="0" borderId="0" applyFont="0" applyFill="0" applyBorder="0" applyAlignment="0" applyProtection="0"/>
  </cellStyleXfs>
  <cellXfs count="285">
    <xf numFmtId="0" fontId="0" fillId="0" borderId="0" xfId="0"/>
    <xf numFmtId="0" fontId="2" fillId="0" borderId="0" xfId="0" applyFont="1"/>
    <xf numFmtId="0" fontId="5" fillId="0" borderId="0" xfId="0" applyFont="1"/>
    <xf numFmtId="0" fontId="6" fillId="0" borderId="0" xfId="0" applyFont="1"/>
    <xf numFmtId="0" fontId="6" fillId="0" borderId="0" xfId="0" applyFont="1" applyAlignment="1">
      <alignment horizontal="left"/>
    </xf>
    <xf numFmtId="0" fontId="8" fillId="0" borderId="0" xfId="0" applyFont="1" applyAlignment="1" applyProtection="1">
      <alignment horizontal="left"/>
      <protection locked="0"/>
    </xf>
    <xf numFmtId="0" fontId="2" fillId="0" borderId="0" xfId="0" applyFont="1" applyAlignment="1">
      <alignment horizontal="left"/>
    </xf>
    <xf numFmtId="0" fontId="2" fillId="0" borderId="0" xfId="0" applyFont="1" applyAlignment="1">
      <alignment wrapText="1"/>
    </xf>
    <xf numFmtId="0" fontId="0" fillId="0" borderId="0" xfId="0" applyAlignment="1">
      <alignment wrapText="1"/>
    </xf>
    <xf numFmtId="167" fontId="6" fillId="0" borderId="1" xfId="0" applyNumberFormat="1" applyFont="1" applyBorder="1" applyAlignment="1" applyProtection="1">
      <alignment horizontal="left"/>
      <protection locked="0"/>
    </xf>
    <xf numFmtId="0" fontId="7" fillId="0" borderId="1" xfId="0" applyFont="1" applyBorder="1" applyAlignment="1">
      <alignment horizontal="left"/>
    </xf>
    <xf numFmtId="0" fontId="7" fillId="0" borderId="2" xfId="0" applyFont="1" applyBorder="1" applyAlignment="1">
      <alignment horizontal="left"/>
    </xf>
    <xf numFmtId="0" fontId="7" fillId="0" borderId="1" xfId="0" applyFont="1" applyBorder="1"/>
    <xf numFmtId="0" fontId="2" fillId="0" borderId="1" xfId="0" applyFont="1" applyBorder="1" applyProtection="1">
      <protection locked="0"/>
    </xf>
    <xf numFmtId="166" fontId="2" fillId="0" borderId="1" xfId="1" applyNumberFormat="1" applyFont="1" applyBorder="1" applyAlignment="1" applyProtection="1">
      <alignment horizontal="center"/>
      <protection locked="0"/>
    </xf>
    <xf numFmtId="0" fontId="2" fillId="0" borderId="0" xfId="0" applyFont="1" applyAlignment="1" applyProtection="1">
      <alignment horizontal="left"/>
      <protection locked="0"/>
    </xf>
    <xf numFmtId="0" fontId="2" fillId="0" borderId="1" xfId="0" applyFont="1" applyBorder="1" applyAlignment="1">
      <alignment horizontal="left"/>
    </xf>
    <xf numFmtId="0" fontId="5" fillId="0" borderId="1" xfId="0" applyFont="1" applyBorder="1"/>
    <xf numFmtId="0" fontId="9" fillId="0" borderId="1" xfId="0" applyFont="1" applyBorder="1" applyAlignment="1">
      <alignment horizontal="left"/>
    </xf>
    <xf numFmtId="0" fontId="2" fillId="0" borderId="1" xfId="0" applyFont="1" applyBorder="1"/>
    <xf numFmtId="0" fontId="10" fillId="0" borderId="1" xfId="0" applyFont="1" applyBorder="1" applyAlignment="1">
      <alignment horizontal="left"/>
    </xf>
    <xf numFmtId="0" fontId="3" fillId="0" borderId="1" xfId="0" applyFont="1" applyBorder="1"/>
    <xf numFmtId="0" fontId="4" fillId="0" borderId="4" xfId="0" applyFont="1" applyBorder="1"/>
    <xf numFmtId="0" fontId="2" fillId="0" borderId="4" xfId="0" applyFont="1" applyBorder="1"/>
    <xf numFmtId="0" fontId="4" fillId="0" borderId="4" xfId="0" applyFont="1" applyBorder="1" applyAlignment="1">
      <alignment horizontal="center"/>
    </xf>
    <xf numFmtId="0" fontId="9" fillId="0" borderId="4" xfId="0" applyFont="1" applyBorder="1" applyAlignment="1">
      <alignment horizontal="right"/>
    </xf>
    <xf numFmtId="44" fontId="6" fillId="0" borderId="4" xfId="1" applyFont="1" applyFill="1" applyBorder="1" applyAlignment="1" applyProtection="1">
      <alignment horizontal="right"/>
    </xf>
    <xf numFmtId="0" fontId="2" fillId="0" borderId="0" xfId="0" applyFont="1" applyAlignment="1">
      <alignment vertical="center" wrapText="1"/>
    </xf>
    <xf numFmtId="166" fontId="2" fillId="0" borderId="1" xfId="1" applyNumberFormat="1" applyFont="1" applyBorder="1" applyAlignment="1" applyProtection="1">
      <alignment horizontal="center"/>
    </xf>
    <xf numFmtId="0" fontId="2" fillId="0" borderId="1" xfId="0" applyFont="1" applyBorder="1" applyAlignment="1">
      <alignment horizontal="center"/>
    </xf>
    <xf numFmtId="44" fontId="2" fillId="0" borderId="1" xfId="1" applyFont="1" applyBorder="1" applyProtection="1"/>
    <xf numFmtId="44" fontId="2" fillId="0" borderId="1" xfId="1" applyFont="1" applyBorder="1" applyAlignment="1" applyProtection="1">
      <alignment horizontal="right"/>
    </xf>
    <xf numFmtId="44" fontId="4" fillId="0" borderId="4" xfId="1" applyFont="1" applyFill="1" applyBorder="1" applyAlignment="1" applyProtection="1">
      <alignment horizontal="right"/>
    </xf>
    <xf numFmtId="44" fontId="2" fillId="0" borderId="0" xfId="0" applyNumberFormat="1" applyFont="1"/>
    <xf numFmtId="44" fontId="2" fillId="0" borderId="1" xfId="0" applyNumberFormat="1" applyFont="1" applyBorder="1"/>
    <xf numFmtId="44" fontId="6" fillId="0" borderId="4" xfId="0" applyNumberFormat="1" applyFont="1" applyBorder="1"/>
    <xf numFmtId="166" fontId="2" fillId="0" borderId="1" xfId="0" applyNumberFormat="1" applyFont="1" applyBorder="1" applyAlignment="1">
      <alignment horizontal="center"/>
    </xf>
    <xf numFmtId="44" fontId="2" fillId="0" borderId="4" xfId="0" applyNumberFormat="1" applyFont="1" applyBorder="1"/>
    <xf numFmtId="0" fontId="11" fillId="0" borderId="1" xfId="0" applyFont="1" applyBorder="1"/>
    <xf numFmtId="166" fontId="2" fillId="0" borderId="1" xfId="0" applyNumberFormat="1" applyFont="1" applyBorder="1"/>
    <xf numFmtId="44" fontId="2" fillId="0" borderId="1" xfId="0" applyNumberFormat="1" applyFont="1" applyBorder="1" applyAlignment="1">
      <alignment horizontal="center"/>
    </xf>
    <xf numFmtId="166" fontId="2" fillId="0" borderId="3" xfId="0" applyNumberFormat="1" applyFont="1" applyBorder="1"/>
    <xf numFmtId="44" fontId="2" fillId="0" borderId="3" xfId="0" applyNumberFormat="1" applyFont="1" applyBorder="1"/>
    <xf numFmtId="166" fontId="2" fillId="0" borderId="1" xfId="0" applyNumberFormat="1" applyFont="1" applyBorder="1" applyAlignment="1">
      <alignment horizontal="right"/>
    </xf>
    <xf numFmtId="44" fontId="5" fillId="0" borderId="5" xfId="0" applyNumberFormat="1" applyFont="1" applyBorder="1"/>
    <xf numFmtId="0" fontId="6" fillId="0" borderId="0" xfId="0" applyFont="1" applyAlignment="1" applyProtection="1">
      <alignment horizontal="left"/>
      <protection locked="0"/>
    </xf>
    <xf numFmtId="0" fontId="17" fillId="0" borderId="0" xfId="0" applyFont="1" applyAlignment="1">
      <alignment horizontal="right"/>
    </xf>
    <xf numFmtId="0" fontId="17" fillId="0" borderId="0" xfId="0" applyFont="1" applyAlignment="1">
      <alignment horizontal="center"/>
    </xf>
    <xf numFmtId="0" fontId="15" fillId="0" borderId="4" xfId="0" applyFont="1" applyBorder="1"/>
    <xf numFmtId="0" fontId="15" fillId="0" borderId="0" xfId="0" applyFont="1"/>
    <xf numFmtId="0" fontId="17" fillId="0" borderId="0" xfId="0" applyFont="1"/>
    <xf numFmtId="0" fontId="18" fillId="0" borderId="0" xfId="0" applyFont="1"/>
    <xf numFmtId="0" fontId="17" fillId="0" borderId="0" xfId="0" applyFont="1" applyAlignment="1">
      <alignment horizontal="left"/>
    </xf>
    <xf numFmtId="168" fontId="2" fillId="0" borderId="1" xfId="0" applyNumberFormat="1" applyFont="1" applyBorder="1" applyAlignment="1" applyProtection="1">
      <alignment horizontal="left"/>
      <protection locked="0"/>
    </xf>
    <xf numFmtId="0" fontId="5" fillId="0" borderId="0" xfId="0" applyFont="1" applyAlignment="1">
      <alignment horizontal="center"/>
    </xf>
    <xf numFmtId="166" fontId="2" fillId="0" borderId="0" xfId="0" applyNumberFormat="1" applyFont="1"/>
    <xf numFmtId="0" fontId="11" fillId="0" borderId="1" xfId="0" applyFont="1" applyBorder="1" applyAlignment="1">
      <alignment horizontal="center"/>
    </xf>
    <xf numFmtId="49" fontId="2" fillId="0" borderId="4" xfId="0" applyNumberFormat="1" applyFont="1" applyBorder="1" applyAlignment="1">
      <alignment horizontal="left"/>
    </xf>
    <xf numFmtId="49" fontId="12" fillId="0" borderId="4" xfId="0" applyNumberFormat="1" applyFont="1" applyBorder="1" applyAlignment="1">
      <alignment horizontal="right"/>
    </xf>
    <xf numFmtId="44" fontId="2" fillId="0" borderId="4" xfId="0" applyNumberFormat="1" applyFont="1" applyBorder="1" applyAlignment="1">
      <alignment horizontal="left"/>
    </xf>
    <xf numFmtId="166" fontId="2" fillId="0" borderId="3" xfId="1" applyNumberFormat="1" applyFont="1" applyBorder="1" applyAlignment="1" applyProtection="1">
      <alignment horizontal="center"/>
    </xf>
    <xf numFmtId="44" fontId="2" fillId="0" borderId="3" xfId="1" applyFont="1" applyBorder="1" applyProtection="1"/>
    <xf numFmtId="44" fontId="2" fillId="0" borderId="3" xfId="1" applyFont="1" applyBorder="1" applyAlignment="1" applyProtection="1">
      <alignment horizontal="right"/>
    </xf>
    <xf numFmtId="166" fontId="2" fillId="0" borderId="3" xfId="0" applyNumberFormat="1" applyFont="1" applyBorder="1" applyAlignment="1">
      <alignment horizontal="center"/>
    </xf>
    <xf numFmtId="44" fontId="2" fillId="0" borderId="3" xfId="0" applyNumberFormat="1" applyFont="1" applyBorder="1" applyAlignment="1">
      <alignment horizontal="center"/>
    </xf>
    <xf numFmtId="166" fontId="2" fillId="0" borderId="3" xfId="0" applyNumberFormat="1" applyFont="1" applyBorder="1" applyAlignment="1">
      <alignment horizontal="right"/>
    </xf>
    <xf numFmtId="0" fontId="11" fillId="0" borderId="0" xfId="0" applyFont="1" applyAlignment="1">
      <alignment horizontal="center"/>
    </xf>
    <xf numFmtId="44" fontId="2" fillId="0" borderId="0" xfId="0" applyNumberFormat="1" applyFont="1" applyAlignment="1">
      <alignment horizontal="center"/>
    </xf>
    <xf numFmtId="0" fontId="7" fillId="0" borderId="3" xfId="0" applyFont="1" applyBorder="1" applyAlignment="1">
      <alignment horizontal="left"/>
    </xf>
    <xf numFmtId="0" fontId="5" fillId="0" borderId="3" xfId="0" applyFont="1" applyBorder="1"/>
    <xf numFmtId="165" fontId="8" fillId="0" borderId="3" xfId="0" applyNumberFormat="1" applyFont="1" applyBorder="1" applyAlignment="1" applyProtection="1">
      <alignment horizontal="left" wrapText="1"/>
      <protection locked="0"/>
    </xf>
    <xf numFmtId="0" fontId="9" fillId="0" borderId="3" xfId="0" applyFont="1" applyBorder="1" applyAlignment="1">
      <alignment horizontal="left"/>
    </xf>
    <xf numFmtId="0" fontId="7" fillId="0" borderId="3" xfId="0" applyFont="1" applyBorder="1"/>
    <xf numFmtId="0" fontId="3" fillId="0" borderId="3" xfId="0" applyFont="1" applyBorder="1"/>
    <xf numFmtId="0" fontId="2" fillId="0" borderId="1" xfId="0" applyFont="1" applyBorder="1" applyAlignment="1">
      <alignment horizontal="right"/>
    </xf>
    <xf numFmtId="49" fontId="18" fillId="0" borderId="2" xfId="0" applyNumberFormat="1" applyFont="1" applyBorder="1" applyAlignment="1">
      <alignment horizontal="left"/>
    </xf>
    <xf numFmtId="49" fontId="14" fillId="0" borderId="2" xfId="0" applyNumberFormat="1" applyFont="1" applyBorder="1" applyAlignment="1">
      <alignment horizontal="left"/>
    </xf>
    <xf numFmtId="49" fontId="14" fillId="0" borderId="1" xfId="0" applyNumberFormat="1" applyFont="1" applyBorder="1" applyAlignment="1">
      <alignment horizontal="left"/>
    </xf>
    <xf numFmtId="49" fontId="18" fillId="0" borderId="1" xfId="0" applyNumberFormat="1" applyFont="1" applyBorder="1" applyAlignment="1">
      <alignment horizontal="left"/>
    </xf>
    <xf numFmtId="0" fontId="12" fillId="0" borderId="1" xfId="0" applyFont="1" applyBorder="1"/>
    <xf numFmtId="0" fontId="18" fillId="0" borderId="1" xfId="0" applyFont="1" applyBorder="1" applyAlignment="1">
      <alignment horizontal="left"/>
    </xf>
    <xf numFmtId="166" fontId="5" fillId="0" borderId="4" xfId="0" applyNumberFormat="1" applyFont="1" applyBorder="1" applyAlignment="1">
      <alignment horizontal="center"/>
    </xf>
    <xf numFmtId="44" fontId="5" fillId="0" borderId="4" xfId="0" applyNumberFormat="1" applyFont="1" applyBorder="1" applyAlignment="1">
      <alignment horizontal="center"/>
    </xf>
    <xf numFmtId="0" fontId="11" fillId="0" borderId="0" xfId="0" applyFont="1"/>
    <xf numFmtId="0" fontId="15" fillId="0" borderId="4" xfId="0" applyFont="1" applyBorder="1" applyAlignment="1">
      <alignment horizontal="left"/>
    </xf>
    <xf numFmtId="44" fontId="2" fillId="0" borderId="0" xfId="0" applyNumberFormat="1" applyFont="1" applyProtection="1">
      <protection locked="0"/>
    </xf>
    <xf numFmtId="0" fontId="6" fillId="0" borderId="1" xfId="0" applyFont="1" applyBorder="1"/>
    <xf numFmtId="0" fontId="2" fillId="0" borderId="0" xfId="0" applyFont="1" applyAlignment="1">
      <alignment horizontal="center" wrapText="1"/>
    </xf>
    <xf numFmtId="0" fontId="5" fillId="0" borderId="0" xfId="0" applyFont="1" applyAlignment="1">
      <alignment horizontal="left"/>
    </xf>
    <xf numFmtId="0" fontId="15" fillId="0" borderId="0" xfId="0" applyFont="1" applyAlignment="1">
      <alignment horizontal="center"/>
    </xf>
    <xf numFmtId="0" fontId="6" fillId="2" borderId="0" xfId="0" applyFont="1" applyFill="1" applyAlignment="1">
      <alignment horizontal="center" wrapText="1"/>
    </xf>
    <xf numFmtId="44" fontId="2" fillId="0" borderId="0" xfId="1" applyFont="1" applyBorder="1"/>
    <xf numFmtId="44" fontId="2" fillId="0" borderId="0" xfId="1" applyFont="1" applyFill="1" applyBorder="1"/>
    <xf numFmtId="44" fontId="2" fillId="2" borderId="0" xfId="1" applyFont="1" applyFill="1" applyBorder="1"/>
    <xf numFmtId="0" fontId="6" fillId="0" borderId="0" xfId="0" applyFont="1" applyAlignment="1">
      <alignment horizontal="center"/>
    </xf>
    <xf numFmtId="0" fontId="2" fillId="0" borderId="0" xfId="0" applyFont="1" applyAlignment="1">
      <alignment horizontal="center"/>
    </xf>
    <xf numFmtId="0" fontId="9" fillId="0" borderId="1" xfId="0" applyFont="1" applyBorder="1"/>
    <xf numFmtId="0" fontId="2" fillId="0" borderId="0" xfId="0" applyFont="1" applyAlignment="1">
      <alignment horizontal="left" vertical="center" wrapText="1"/>
    </xf>
    <xf numFmtId="0" fontId="0" fillId="0" borderId="0" xfId="0" applyAlignment="1">
      <alignment horizontal="left" vertical="center" wrapText="1"/>
    </xf>
    <xf numFmtId="166" fontId="2" fillId="0" borderId="0" xfId="1" applyNumberFormat="1" applyFont="1" applyBorder="1" applyAlignment="1" applyProtection="1">
      <alignment horizontal="center"/>
    </xf>
    <xf numFmtId="44" fontId="2" fillId="0" borderId="0" xfId="1" applyFont="1" applyBorder="1" applyAlignment="1" applyProtection="1">
      <alignment horizontal="right"/>
    </xf>
    <xf numFmtId="0" fontId="3" fillId="0" borderId="0" xfId="0" applyFont="1" applyAlignment="1" applyProtection="1">
      <alignment horizontal="right"/>
      <protection locked="0"/>
    </xf>
    <xf numFmtId="0" fontId="2" fillId="0" borderId="0" xfId="0" applyFont="1" applyAlignment="1">
      <alignment horizontal="right"/>
    </xf>
    <xf numFmtId="44" fontId="6" fillId="0" borderId="0" xfId="1" applyFont="1" applyBorder="1" applyAlignment="1" applyProtection="1">
      <alignment horizontal="left"/>
    </xf>
    <xf numFmtId="1" fontId="19" fillId="0" borderId="0" xfId="0" applyNumberFormat="1" applyFont="1" applyAlignment="1">
      <alignment horizontal="center"/>
    </xf>
    <xf numFmtId="1" fontId="19" fillId="0" borderId="1" xfId="0" applyNumberFormat="1" applyFont="1" applyBorder="1" applyAlignment="1">
      <alignment horizontal="center"/>
    </xf>
    <xf numFmtId="0" fontId="6" fillId="0" borderId="1" xfId="0" applyFont="1" applyBorder="1" applyAlignment="1">
      <alignment horizontal="center"/>
    </xf>
    <xf numFmtId="164" fontId="0" fillId="0" borderId="0" xfId="2" applyFont="1"/>
    <xf numFmtId="44" fontId="4" fillId="0" borderId="4" xfId="0" applyNumberFormat="1" applyFont="1" applyBorder="1" applyAlignment="1">
      <alignment horizontal="center"/>
    </xf>
    <xf numFmtId="0" fontId="2" fillId="0" borderId="2" xfId="0" applyFont="1" applyBorder="1"/>
    <xf numFmtId="166" fontId="2" fillId="0" borderId="2" xfId="1" applyNumberFormat="1" applyFont="1" applyBorder="1" applyAlignment="1" applyProtection="1">
      <alignment horizontal="center"/>
      <protection locked="0"/>
    </xf>
    <xf numFmtId="0" fontId="2" fillId="0" borderId="2" xfId="0" applyFont="1" applyBorder="1" applyAlignment="1">
      <alignment horizontal="center"/>
    </xf>
    <xf numFmtId="0" fontId="21" fillId="4" borderId="0" xfId="0" applyFont="1" applyFill="1"/>
    <xf numFmtId="0" fontId="19" fillId="4" borderId="0" xfId="0" applyFont="1" applyFill="1"/>
    <xf numFmtId="0" fontId="21" fillId="4" borderId="0" xfId="0" applyFont="1" applyFill="1" applyAlignment="1">
      <alignment horizontal="center"/>
    </xf>
    <xf numFmtId="0" fontId="2" fillId="0" borderId="2" xfId="0" applyFont="1" applyBorder="1" applyProtection="1">
      <protection locked="0"/>
    </xf>
    <xf numFmtId="0" fontId="11" fillId="0" borderId="2" xfId="0" applyFont="1" applyBorder="1"/>
    <xf numFmtId="0" fontId="21" fillId="4" borderId="0" xfId="0" applyFont="1" applyFill="1" applyAlignment="1">
      <alignment horizontal="left"/>
    </xf>
    <xf numFmtId="0" fontId="11" fillId="0" borderId="2" xfId="0" applyFont="1" applyBorder="1" applyAlignment="1">
      <alignment horizontal="center"/>
    </xf>
    <xf numFmtId="0" fontId="23" fillId="4" borderId="0" xfId="0" applyFont="1" applyFill="1"/>
    <xf numFmtId="0" fontId="2" fillId="0" borderId="0" xfId="0" applyFont="1" applyProtection="1">
      <protection locked="0"/>
    </xf>
    <xf numFmtId="166" fontId="2" fillId="0" borderId="8" xfId="0" applyNumberFormat="1" applyFont="1" applyBorder="1" applyAlignment="1">
      <alignment horizontal="right"/>
    </xf>
    <xf numFmtId="44" fontId="2" fillId="0" borderId="8" xfId="0" applyNumberFormat="1" applyFont="1" applyBorder="1"/>
    <xf numFmtId="0" fontId="4" fillId="0" borderId="1" xfId="0" applyFont="1" applyBorder="1" applyAlignment="1">
      <alignment horizontal="left"/>
    </xf>
    <xf numFmtId="0" fontId="2" fillId="0" borderId="2" xfId="0" applyFont="1" applyBorder="1" applyAlignment="1">
      <alignment horizontal="left"/>
    </xf>
    <xf numFmtId="0" fontId="3" fillId="0" borderId="2" xfId="0" applyFont="1" applyBorder="1" applyAlignment="1">
      <alignment horizontal="left"/>
    </xf>
    <xf numFmtId="0" fontId="18" fillId="0" borderId="2" xfId="0" applyFont="1" applyBorder="1" applyAlignment="1">
      <alignment horizontal="left"/>
    </xf>
    <xf numFmtId="0" fontId="4" fillId="0" borderId="2" xfId="0" applyFont="1" applyBorder="1"/>
    <xf numFmtId="0" fontId="4" fillId="0" borderId="1" xfId="0" applyFont="1" applyBorder="1"/>
    <xf numFmtId="0" fontId="0" fillId="0" borderId="0" xfId="0" applyAlignment="1">
      <alignment vertical="center" wrapText="1"/>
    </xf>
    <xf numFmtId="166" fontId="2" fillId="0" borderId="3" xfId="0" applyNumberFormat="1" applyFont="1" applyBorder="1" applyProtection="1">
      <protection locked="0"/>
    </xf>
    <xf numFmtId="166" fontId="2" fillId="0" borderId="1" xfId="0" applyNumberFormat="1" applyFont="1" applyBorder="1" applyProtection="1">
      <protection locked="0"/>
    </xf>
    <xf numFmtId="166" fontId="2" fillId="0" borderId="1" xfId="0" applyNumberFormat="1" applyFont="1" applyBorder="1" applyAlignment="1" applyProtection="1">
      <alignment horizontal="right"/>
      <protection locked="0"/>
    </xf>
    <xf numFmtId="164" fontId="15" fillId="0" borderId="0" xfId="2" applyFont="1"/>
    <xf numFmtId="2" fontId="2" fillId="0" borderId="0" xfId="0" applyNumberFormat="1" applyFont="1"/>
    <xf numFmtId="2" fontId="4" fillId="0" borderId="0" xfId="0" applyNumberFormat="1" applyFont="1" applyAlignment="1">
      <alignment horizontal="center"/>
    </xf>
    <xf numFmtId="2" fontId="2" fillId="0" borderId="0" xfId="0" applyNumberFormat="1" applyFont="1" applyAlignment="1">
      <alignment horizontal="right"/>
    </xf>
    <xf numFmtId="44" fontId="2" fillId="0" borderId="1" xfId="1" applyFont="1" applyBorder="1" applyAlignment="1" applyProtection="1">
      <alignment horizontal="left"/>
    </xf>
    <xf numFmtId="0" fontId="1" fillId="0" borderId="0" xfId="0" applyFont="1"/>
    <xf numFmtId="44" fontId="20" fillId="0" borderId="0" xfId="0" applyNumberFormat="1" applyFont="1" applyAlignment="1">
      <alignment horizontal="left" vertical="center" wrapText="1" indent="1"/>
    </xf>
    <xf numFmtId="0" fontId="7" fillId="0" borderId="6" xfId="0" applyFont="1" applyBorder="1" applyAlignment="1">
      <alignment horizontal="left"/>
    </xf>
    <xf numFmtId="0" fontId="4" fillId="0" borderId="6" xfId="0" applyFont="1" applyBorder="1"/>
    <xf numFmtId="164" fontId="2" fillId="0" borderId="0" xfId="2" applyFont="1"/>
    <xf numFmtId="0" fontId="18" fillId="0" borderId="11" xfId="0" applyFont="1" applyBorder="1" applyAlignment="1">
      <alignment horizontal="left"/>
    </xf>
    <xf numFmtId="0" fontId="25" fillId="0" borderId="0" xfId="0" applyFont="1"/>
    <xf numFmtId="0" fontId="26" fillId="0" borderId="4" xfId="0" applyFont="1" applyBorder="1"/>
    <xf numFmtId="0" fontId="28" fillId="0" borderId="0" xfId="0" applyFont="1"/>
    <xf numFmtId="0" fontId="26" fillId="0" borderId="0" xfId="0" applyFont="1" applyAlignment="1">
      <alignment horizontal="left"/>
    </xf>
    <xf numFmtId="0" fontId="26" fillId="0" borderId="0" xfId="0" applyFont="1"/>
    <xf numFmtId="0" fontId="25" fillId="0" borderId="0" xfId="0" applyFont="1" applyAlignment="1">
      <alignment horizontal="left"/>
    </xf>
    <xf numFmtId="0" fontId="27" fillId="0" borderId="0" xfId="0" applyFont="1" applyAlignment="1">
      <alignment horizontal="right"/>
    </xf>
    <xf numFmtId="0" fontId="14" fillId="0" borderId="9"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0" fillId="0" borderId="10" xfId="0"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1" xfId="0" applyFont="1" applyBorder="1" applyProtection="1">
      <protection locked="0"/>
    </xf>
    <xf numFmtId="0" fontId="1" fillId="0" borderId="3" xfId="0" applyFont="1" applyBorder="1" applyAlignment="1" applyProtection="1">
      <alignment horizontal="left"/>
      <protection locked="0"/>
    </xf>
    <xf numFmtId="0" fontId="2" fillId="0" borderId="1" xfId="0" applyFont="1" applyBorder="1" applyAlignment="1" applyProtection="1">
      <alignment horizontal="left"/>
      <protection locked="0"/>
    </xf>
    <xf numFmtId="0" fontId="1" fillId="0" borderId="1" xfId="0" applyFont="1" applyBorder="1" applyAlignment="1" applyProtection="1">
      <alignment horizontal="left"/>
      <protection locked="0"/>
    </xf>
    <xf numFmtId="44" fontId="20" fillId="0" borderId="8" xfId="0" applyNumberFormat="1" applyFont="1" applyBorder="1" applyAlignment="1">
      <alignment horizontal="left" vertical="center" wrapText="1" indent="1"/>
    </xf>
    <xf numFmtId="44" fontId="20" fillId="0" borderId="0" xfId="0" applyNumberFormat="1" applyFont="1" applyAlignment="1">
      <alignment horizontal="left" vertical="center" wrapText="1" inden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20" fillId="0" borderId="8" xfId="0" applyFont="1" applyBorder="1" applyAlignment="1">
      <alignment horizontal="left" vertical="center" wrapText="1" indent="1"/>
    </xf>
    <xf numFmtId="0" fontId="20" fillId="0" borderId="0" xfId="0" applyFont="1" applyAlignment="1">
      <alignment horizontal="left" vertical="center" wrapText="1" indent="1"/>
    </xf>
    <xf numFmtId="0" fontId="4" fillId="0" borderId="0" xfId="0" applyFont="1" applyAlignment="1">
      <alignment horizontal="center" vertical="center" wrapText="1"/>
    </xf>
    <xf numFmtId="0" fontId="14" fillId="0" borderId="0" xfId="0" applyFont="1" applyAlignment="1">
      <alignment horizontal="left" vertical="top" wrapText="1"/>
    </xf>
    <xf numFmtId="0" fontId="2" fillId="0" borderId="0" xfId="0" applyFont="1" applyAlignment="1">
      <alignment horizontal="left" vertical="center" wrapText="1"/>
    </xf>
    <xf numFmtId="0" fontId="0" fillId="0" borderId="0" xfId="0" applyAlignment="1">
      <alignment horizontal="left" vertical="center" wrapText="1"/>
    </xf>
    <xf numFmtId="0" fontId="2" fillId="2" borderId="0" xfId="0" applyFont="1" applyFill="1" applyAlignment="1">
      <alignment horizontal="center" wrapText="1"/>
    </xf>
    <xf numFmtId="0" fontId="2" fillId="0" borderId="0" xfId="0" applyFont="1" applyAlignment="1">
      <alignment horizontal="center" wrapText="1"/>
    </xf>
    <xf numFmtId="0" fontId="5" fillId="0" borderId="0" xfId="0" applyFont="1" applyAlignment="1">
      <alignment horizontal="center"/>
    </xf>
    <xf numFmtId="0" fontId="5" fillId="2" borderId="0" xfId="0" applyFont="1" applyFill="1" applyAlignment="1">
      <alignment horizontal="center"/>
    </xf>
    <xf numFmtId="0" fontId="7" fillId="0" borderId="1" xfId="0" applyFont="1" applyBorder="1" applyAlignment="1">
      <alignment horizontal="left"/>
    </xf>
    <xf numFmtId="0" fontId="2" fillId="0" borderId="3" xfId="0" applyFont="1" applyBorder="1" applyAlignment="1">
      <alignment horizontal="left"/>
    </xf>
    <xf numFmtId="0" fontId="3" fillId="0" borderId="1" xfId="0" applyFont="1" applyBorder="1" applyAlignment="1" applyProtection="1">
      <alignment horizontal="left"/>
      <protection locked="0"/>
    </xf>
    <xf numFmtId="0" fontId="8" fillId="0" borderId="1" xfId="0" applyFont="1" applyBorder="1" applyAlignment="1" applyProtection="1">
      <alignment horizontal="left"/>
      <protection locked="0"/>
    </xf>
    <xf numFmtId="0" fontId="6" fillId="0" borderId="1" xfId="0" applyFont="1" applyBorder="1" applyAlignment="1">
      <alignment horizontal="left"/>
    </xf>
    <xf numFmtId="0" fontId="2" fillId="0" borderId="1" xfId="0" applyFont="1" applyBorder="1" applyAlignment="1">
      <alignment horizontal="left"/>
    </xf>
    <xf numFmtId="0" fontId="6" fillId="0" borderId="1" xfId="0" applyFont="1" applyBorder="1" applyAlignment="1">
      <alignment horizontal="center"/>
    </xf>
    <xf numFmtId="0" fontId="2" fillId="0" borderId="1" xfId="0" applyFont="1" applyBorder="1" applyAlignment="1">
      <alignment horizontal="center"/>
    </xf>
    <xf numFmtId="0" fontId="2" fillId="0" borderId="0" xfId="0" applyFont="1" applyAlignment="1">
      <alignment horizontal="center"/>
    </xf>
    <xf numFmtId="0" fontId="16" fillId="0" borderId="7" xfId="0" applyFont="1" applyBorder="1" applyAlignment="1">
      <alignment horizontal="center"/>
    </xf>
    <xf numFmtId="0" fontId="5" fillId="0" borderId="0" xfId="0" applyFont="1" applyAlignment="1">
      <alignment horizontal="center" vertical="center" wrapText="1"/>
    </xf>
    <xf numFmtId="0" fontId="4" fillId="0" borderId="1" xfId="0" applyFont="1" applyBorder="1" applyAlignment="1">
      <alignment horizontal="left"/>
    </xf>
    <xf numFmtId="0" fontId="2" fillId="0" borderId="0" xfId="0" applyFont="1" applyAlignment="1">
      <alignment horizontal="left"/>
    </xf>
    <xf numFmtId="0" fontId="15" fillId="0" borderId="0" xfId="0" applyFont="1" applyAlignment="1">
      <alignment horizontal="right"/>
    </xf>
    <xf numFmtId="0" fontId="15" fillId="0" borderId="0" xfId="0" applyFont="1" applyAlignment="1" applyProtection="1">
      <alignment horizontal="right"/>
      <protection locked="0"/>
    </xf>
    <xf numFmtId="0" fontId="2" fillId="0" borderId="4" xfId="0" applyFont="1" applyBorder="1" applyAlignment="1" applyProtection="1">
      <alignment horizontal="left"/>
      <protection locked="0"/>
    </xf>
    <xf numFmtId="0" fontId="14" fillId="0" borderId="0" xfId="0" applyFont="1" applyAlignment="1">
      <alignment horizontal="right"/>
    </xf>
    <xf numFmtId="0" fontId="2" fillId="0" borderId="4" xfId="0" applyFont="1" applyBorder="1" applyAlignment="1">
      <alignment horizontal="left"/>
    </xf>
    <xf numFmtId="49" fontId="2" fillId="0" borderId="0" xfId="0" applyNumberFormat="1" applyFont="1" applyAlignment="1">
      <alignment horizontal="left" wrapText="1"/>
    </xf>
    <xf numFmtId="0" fontId="2" fillId="0" borderId="4" xfId="0" applyFont="1" applyBorder="1" applyAlignment="1">
      <alignment horizontal="center"/>
    </xf>
    <xf numFmtId="0" fontId="6" fillId="0" borderId="1" xfId="0" applyFont="1" applyBorder="1" applyAlignment="1" applyProtection="1">
      <alignment horizontal="left"/>
      <protection locked="0"/>
    </xf>
    <xf numFmtId="0" fontId="7" fillId="0" borderId="3" xfId="0" applyFont="1" applyBorder="1" applyAlignment="1">
      <alignment horizontal="left"/>
    </xf>
    <xf numFmtId="0" fontId="5" fillId="0" borderId="1" xfId="0" applyFont="1" applyBorder="1" applyAlignment="1">
      <alignment horizontal="left"/>
    </xf>
    <xf numFmtId="0" fontId="6" fillId="0" borderId="3" xfId="0" applyFont="1" applyBorder="1" applyAlignment="1" applyProtection="1">
      <alignment horizontal="left"/>
      <protection locked="0"/>
    </xf>
    <xf numFmtId="0" fontId="13" fillId="0" borderId="7" xfId="0" applyFont="1" applyBorder="1" applyAlignment="1">
      <alignment horizontal="center" vertical="center"/>
    </xf>
    <xf numFmtId="0" fontId="2" fillId="0" borderId="0" xfId="0" applyFont="1" applyAlignment="1">
      <alignment horizontal="justify" vertical="top" wrapText="1"/>
    </xf>
    <xf numFmtId="0" fontId="6" fillId="0" borderId="0" xfId="0" applyFont="1" applyAlignment="1">
      <alignment horizontal="justify" vertical="top" wrapText="1"/>
    </xf>
    <xf numFmtId="0" fontId="0" fillId="0" borderId="0" xfId="0" applyAlignment="1">
      <alignment horizontal="justify" vertical="top" wrapText="1"/>
    </xf>
    <xf numFmtId="0" fontId="11" fillId="0" borderId="0" xfId="0" applyFont="1" applyAlignment="1">
      <alignment horizontal="justify" vertical="top" wrapText="1"/>
    </xf>
    <xf numFmtId="0" fontId="16" fillId="0" borderId="0" xfId="0" applyFont="1" applyAlignment="1">
      <alignment horizontal="center" wrapText="1"/>
    </xf>
    <xf numFmtId="0" fontId="2" fillId="0" borderId="0" xfId="0" applyFont="1" applyAlignment="1">
      <alignment horizontal="justify" vertical="top"/>
    </xf>
    <xf numFmtId="0" fontId="2" fillId="0" borderId="0" xfId="0" applyFont="1" applyAlignment="1">
      <alignment horizontal="left" vertical="top" wrapText="1"/>
    </xf>
    <xf numFmtId="0" fontId="18" fillId="0" borderId="0" xfId="0" applyFont="1" applyAlignment="1">
      <alignment horizontal="justify" vertical="top" wrapText="1"/>
    </xf>
    <xf numFmtId="0" fontId="15" fillId="0" borderId="0" xfId="0" applyFont="1" applyAlignment="1">
      <alignment horizontal="justify" vertical="top" wrapText="1"/>
    </xf>
    <xf numFmtId="0" fontId="18" fillId="0" borderId="7" xfId="0" applyFont="1" applyBorder="1" applyAlignment="1">
      <alignment horizontal="center" vertical="center" wrapText="1"/>
    </xf>
    <xf numFmtId="0" fontId="17" fillId="0" borderId="0" xfId="0" applyFont="1" applyAlignment="1">
      <alignment horizontal="justify" vertical="top" wrapText="1"/>
    </xf>
    <xf numFmtId="0" fontId="17" fillId="0" borderId="4" xfId="0" applyFont="1" applyBorder="1" applyAlignment="1">
      <alignment horizontal="justify" vertical="top" wrapText="1"/>
    </xf>
    <xf numFmtId="0" fontId="17" fillId="0" borderId="1" xfId="0" applyFont="1" applyBorder="1" applyAlignment="1">
      <alignment horizontal="left"/>
    </xf>
    <xf numFmtId="0" fontId="17" fillId="0" borderId="1" xfId="0" applyFont="1" applyBorder="1" applyAlignment="1" applyProtection="1">
      <alignment horizontal="left"/>
      <protection locked="0"/>
    </xf>
    <xf numFmtId="0" fontId="7" fillId="0" borderId="0" xfId="0" applyFont="1" applyAlignment="1">
      <alignment horizontal="center"/>
    </xf>
    <xf numFmtId="0" fontId="15" fillId="0" borderId="1" xfId="0" applyFont="1" applyBorder="1" applyAlignment="1">
      <alignment horizontal="left"/>
    </xf>
    <xf numFmtId="0" fontId="17" fillId="0" borderId="11" xfId="0" applyFont="1" applyBorder="1" applyAlignment="1">
      <alignment horizontal="left"/>
    </xf>
    <xf numFmtId="0" fontId="18" fillId="0" borderId="0" xfId="0" applyFont="1" applyAlignment="1">
      <alignment horizontal="center" vertical="top" wrapText="1"/>
    </xf>
    <xf numFmtId="0" fontId="15" fillId="0" borderId="4" xfId="0" applyFont="1" applyBorder="1" applyAlignment="1">
      <alignment horizontal="left"/>
    </xf>
    <xf numFmtId="0" fontId="18" fillId="0" borderId="4" xfId="0" applyFont="1" applyBorder="1" applyAlignment="1">
      <alignment horizontal="left"/>
    </xf>
    <xf numFmtId="0" fontId="17" fillId="0" borderId="0" xfId="0" applyFont="1" applyAlignment="1">
      <alignment horizontal="center" vertical="top" wrapText="1"/>
    </xf>
    <xf numFmtId="0" fontId="15" fillId="0" borderId="0" xfId="0" applyFont="1" applyAlignment="1">
      <alignment horizontal="center" vertical="top" wrapText="1"/>
    </xf>
    <xf numFmtId="0" fontId="15" fillId="0" borderId="2" xfId="0" applyFont="1" applyBorder="1" applyAlignment="1">
      <alignment horizontal="left"/>
    </xf>
    <xf numFmtId="0" fontId="17" fillId="0" borderId="2" xfId="0" applyFont="1" applyBorder="1" applyAlignment="1">
      <alignment horizontal="left"/>
    </xf>
    <xf numFmtId="0" fontId="15" fillId="0" borderId="1" xfId="0" applyFont="1" applyBorder="1" applyAlignment="1" applyProtection="1">
      <alignment horizontal="left"/>
      <protection locked="0"/>
    </xf>
    <xf numFmtId="0" fontId="17" fillId="0" borderId="0" xfId="0" applyFont="1" applyAlignment="1">
      <alignment horizontal="right"/>
    </xf>
    <xf numFmtId="0" fontId="14" fillId="0" borderId="4" xfId="0" applyFont="1" applyBorder="1" applyAlignment="1">
      <alignment horizontal="center"/>
    </xf>
    <xf numFmtId="0" fontId="18" fillId="3" borderId="0" xfId="0" applyFont="1" applyFill="1" applyAlignment="1">
      <alignment horizontal="center" vertical="top" wrapText="1"/>
    </xf>
    <xf numFmtId="0" fontId="0" fillId="0" borderId="0" xfId="0" applyAlignment="1">
      <alignment horizontal="center"/>
    </xf>
    <xf numFmtId="0" fontId="24" fillId="0" borderId="0" xfId="0" applyFont="1" applyAlignment="1">
      <alignment horizontal="right" vertical="top"/>
    </xf>
    <xf numFmtId="0" fontId="25" fillId="0" borderId="0" xfId="0" applyFont="1" applyAlignment="1">
      <alignment horizontal="center"/>
    </xf>
    <xf numFmtId="0" fontId="25" fillId="0" borderId="8" xfId="0" applyFont="1" applyBorder="1" applyAlignment="1">
      <alignment horizontal="left"/>
    </xf>
    <xf numFmtId="0" fontId="26" fillId="0" borderId="4" xfId="0" applyFont="1" applyBorder="1" applyAlignment="1">
      <alignment horizontal="left"/>
    </xf>
    <xf numFmtId="0" fontId="27" fillId="0" borderId="8" xfId="0" applyFont="1" applyBorder="1" applyAlignment="1">
      <alignment horizontal="left" vertical="center" wrapText="1"/>
    </xf>
    <xf numFmtId="0" fontId="27" fillId="0" borderId="12" xfId="0" applyFont="1" applyBorder="1" applyAlignment="1">
      <alignment horizontal="left" vertical="center" wrapText="1"/>
    </xf>
    <xf numFmtId="0" fontId="25" fillId="0" borderId="13" xfId="0" applyFont="1" applyBorder="1" applyAlignment="1">
      <alignment horizontal="left" vertical="top" wrapText="1"/>
    </xf>
    <xf numFmtId="0" fontId="25" fillId="0" borderId="8" xfId="0" applyFont="1" applyBorder="1" applyAlignment="1">
      <alignment horizontal="left" vertical="top" wrapText="1"/>
    </xf>
    <xf numFmtId="0" fontId="25" fillId="0" borderId="12" xfId="0" applyFont="1" applyBorder="1" applyAlignment="1">
      <alignment horizontal="left" vertical="top" wrapText="1"/>
    </xf>
    <xf numFmtId="0" fontId="1" fillId="0" borderId="4" xfId="0" applyFont="1" applyBorder="1" applyAlignment="1">
      <alignment horizontal="left" wrapText="1"/>
    </xf>
    <xf numFmtId="0" fontId="1" fillId="0" borderId="14" xfId="0" applyFont="1" applyBorder="1" applyAlignment="1">
      <alignment horizontal="left" wrapText="1"/>
    </xf>
    <xf numFmtId="14" fontId="1" fillId="0" borderId="14" xfId="0" applyNumberFormat="1"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0" fillId="0" borderId="5" xfId="0" applyBorder="1" applyAlignment="1">
      <alignment horizontal="center"/>
    </xf>
    <xf numFmtId="0" fontId="25" fillId="0" borderId="15" xfId="0" applyFont="1" applyBorder="1" applyAlignment="1">
      <alignment horizontal="left" vertical="top"/>
    </xf>
    <xf numFmtId="0" fontId="0" fillId="0" borderId="15" xfId="0" applyBorder="1" applyAlignment="1">
      <alignment horizontal="left" vertical="top"/>
    </xf>
    <xf numFmtId="0" fontId="25" fillId="0" borderId="8" xfId="0" applyFont="1" applyBorder="1" applyAlignment="1">
      <alignment horizontal="left" vertical="top"/>
    </xf>
    <xf numFmtId="0" fontId="0" fillId="0" borderId="8" xfId="0" applyBorder="1" applyAlignment="1">
      <alignment horizontal="left" vertical="top"/>
    </xf>
    <xf numFmtId="0" fontId="1" fillId="0" borderId="0" xfId="0" applyFont="1" applyAlignment="1" applyProtection="1">
      <alignment horizontal="left" wrapText="1"/>
      <protection locked="0"/>
    </xf>
    <xf numFmtId="0" fontId="25" fillId="0" borderId="12" xfId="0" applyFont="1" applyBorder="1" applyAlignment="1">
      <alignment horizontal="left" vertical="top"/>
    </xf>
    <xf numFmtId="0" fontId="25" fillId="0" borderId="16" xfId="0" applyFont="1" applyBorder="1" applyAlignment="1">
      <alignment horizontal="left" vertical="top"/>
    </xf>
    <xf numFmtId="0" fontId="0" fillId="0" borderId="16" xfId="0" applyBorder="1" applyAlignment="1">
      <alignment horizontal="left" vertical="top"/>
    </xf>
    <xf numFmtId="0" fontId="0" fillId="0" borderId="13" xfId="0" applyBorder="1" applyAlignment="1">
      <alignment horizontal="left" vertical="top"/>
    </xf>
    <xf numFmtId="0" fontId="1" fillId="0" borderId="17" xfId="0" applyFont="1" applyBorder="1" applyAlignment="1" applyProtection="1">
      <alignment horizontal="left" wrapText="1"/>
      <protection locked="0"/>
    </xf>
    <xf numFmtId="0" fontId="1" fillId="0" borderId="18" xfId="0" applyFont="1" applyBorder="1" applyAlignment="1" applyProtection="1">
      <alignment horizontal="left" wrapText="1"/>
      <protection locked="0"/>
    </xf>
    <xf numFmtId="0" fontId="1" fillId="0" borderId="14" xfId="0" applyFont="1" applyBorder="1" applyAlignment="1" applyProtection="1">
      <alignment horizontal="left" wrapText="1"/>
      <protection locked="0"/>
    </xf>
    <xf numFmtId="0" fontId="0" fillId="0" borderId="12" xfId="0" applyBorder="1" applyAlignment="1">
      <alignment horizontal="left" vertical="top"/>
    </xf>
    <xf numFmtId="0" fontId="25" fillId="0" borderId="13" xfId="0" applyFont="1" applyBorder="1" applyAlignment="1">
      <alignment horizontal="left" vertical="top"/>
    </xf>
    <xf numFmtId="0" fontId="1" fillId="0" borderId="4" xfId="0" applyFont="1" applyBorder="1" applyProtection="1">
      <protection locked="0"/>
    </xf>
    <xf numFmtId="0" fontId="1" fillId="0" borderId="17" xfId="0" applyFont="1" applyBorder="1" applyProtection="1">
      <protection locked="0"/>
    </xf>
    <xf numFmtId="0" fontId="1" fillId="0" borderId="14" xfId="0" applyFont="1" applyBorder="1" applyProtection="1">
      <protection locked="0"/>
    </xf>
    <xf numFmtId="0" fontId="28" fillId="0" borderId="8" xfId="0" applyFont="1" applyBorder="1" applyAlignment="1">
      <alignment horizontal="center"/>
    </xf>
    <xf numFmtId="0" fontId="1" fillId="0" borderId="4" xfId="0" applyFont="1" applyBorder="1" applyAlignment="1" applyProtection="1">
      <alignment horizontal="center"/>
      <protection locked="0"/>
    </xf>
    <xf numFmtId="0" fontId="1" fillId="0" borderId="4" xfId="0" applyFont="1" applyBorder="1" applyAlignment="1">
      <alignment horizontal="center"/>
    </xf>
    <xf numFmtId="0" fontId="25" fillId="0" borderId="0" xfId="0" applyFont="1" applyAlignment="1">
      <alignment horizontal="left"/>
    </xf>
    <xf numFmtId="0" fontId="0" fillId="0" borderId="0" xfId="0" applyAlignment="1">
      <alignment horizontal="left"/>
    </xf>
    <xf numFmtId="0" fontId="25" fillId="0" borderId="0" xfId="0" applyFont="1" applyAlignment="1">
      <alignment horizontal="right"/>
    </xf>
    <xf numFmtId="49" fontId="1" fillId="0" borderId="4" xfId="0" applyNumberFormat="1" applyFont="1" applyBorder="1" applyAlignment="1" applyProtection="1">
      <alignment horizontal="center"/>
      <protection locked="0"/>
    </xf>
    <xf numFmtId="0" fontId="0" fillId="0" borderId="0" xfId="0" applyAlignment="1" applyProtection="1">
      <alignment horizontal="left"/>
      <protection locked="0"/>
    </xf>
    <xf numFmtId="0" fontId="28" fillId="0" borderId="0" xfId="0" applyFont="1" applyAlignment="1">
      <alignment horizontal="left"/>
    </xf>
    <xf numFmtId="0" fontId="26" fillId="0" borderId="0" xfId="0" applyFont="1" applyAlignment="1">
      <alignment horizontal="left"/>
    </xf>
    <xf numFmtId="0" fontId="1" fillId="0" borderId="4" xfId="0" applyFont="1" applyBorder="1" applyAlignment="1">
      <alignment horizontal="left"/>
    </xf>
    <xf numFmtId="43" fontId="27" fillId="0" borderId="4" xfId="0" applyNumberFormat="1" applyFont="1" applyBorder="1" applyAlignment="1">
      <alignment horizontal="left"/>
    </xf>
    <xf numFmtId="0" fontId="1" fillId="0" borderId="7" xfId="0" applyFont="1" applyBorder="1" applyAlignment="1" applyProtection="1">
      <alignment horizontal="left"/>
      <protection locked="0"/>
    </xf>
    <xf numFmtId="0" fontId="1" fillId="0" borderId="7" xfId="0" applyFont="1" applyBorder="1" applyAlignment="1">
      <alignment horizontal="left"/>
    </xf>
    <xf numFmtId="43" fontId="27" fillId="0" borderId="7" xfId="0" applyNumberFormat="1" applyFont="1" applyBorder="1" applyAlignment="1" applyProtection="1">
      <alignment horizontal="left"/>
      <protection locked="0"/>
    </xf>
    <xf numFmtId="0" fontId="0" fillId="0" borderId="8" xfId="0" applyBorder="1" applyAlignment="1">
      <alignment horizontal="left"/>
    </xf>
    <xf numFmtId="0" fontId="27" fillId="0" borderId="0" xfId="0" applyFont="1" applyAlignment="1">
      <alignment horizontal="left"/>
    </xf>
    <xf numFmtId="0" fontId="9" fillId="0" borderId="0" xfId="0" applyFont="1" applyAlignment="1">
      <alignment horizontal="left"/>
    </xf>
    <xf numFmtId="43" fontId="27" fillId="0" borderId="19" xfId="0" applyNumberFormat="1" applyFont="1" applyBorder="1" applyAlignment="1">
      <alignment horizontal="left"/>
    </xf>
    <xf numFmtId="0" fontId="1" fillId="0" borderId="19" xfId="0" applyFont="1" applyBorder="1" applyAlignment="1">
      <alignment horizontal="left"/>
    </xf>
    <xf numFmtId="0" fontId="0" fillId="0" borderId="4" xfId="0" applyBorder="1" applyAlignment="1">
      <alignment horizontal="left"/>
    </xf>
    <xf numFmtId="0" fontId="0" fillId="0" borderId="12" xfId="0" applyBorder="1" applyAlignment="1">
      <alignment horizontal="left"/>
    </xf>
    <xf numFmtId="0" fontId="25" fillId="0" borderId="13" xfId="0" applyFont="1" applyBorder="1" applyAlignment="1">
      <alignment horizontal="left"/>
    </xf>
    <xf numFmtId="0" fontId="27" fillId="0" borderId="4" xfId="0" applyFont="1" applyBorder="1" applyAlignment="1">
      <alignment horizontal="left"/>
    </xf>
    <xf numFmtId="0" fontId="1" fillId="0" borderId="17" xfId="0" applyFont="1" applyBorder="1" applyAlignment="1">
      <alignment horizontal="left"/>
    </xf>
    <xf numFmtId="14" fontId="27" fillId="0" borderId="14" xfId="0" applyNumberFormat="1" applyFont="1" applyBorder="1" applyAlignment="1" applyProtection="1">
      <alignment horizontal="left"/>
      <protection locked="0"/>
    </xf>
    <xf numFmtId="0" fontId="1" fillId="0" borderId="4" xfId="0" applyFont="1" applyBorder="1" applyAlignment="1" applyProtection="1">
      <alignment horizontal="left"/>
      <protection locked="0"/>
    </xf>
  </cellXfs>
  <cellStyles count="3">
    <cellStyle name="Comma" xfId="2" builtinId="3"/>
    <cellStyle name="Currency" xfId="1" builtinId="4"/>
    <cellStyle name="Normal" xfId="0" builtinId="0"/>
  </cellStyles>
  <dxfs count="0"/>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C$19" lockText="1"/>
</file>

<file path=xl/ctrlProps/ctrlProp10.xml><?xml version="1.0" encoding="utf-8"?>
<formControlPr xmlns="http://schemas.microsoft.com/office/spreadsheetml/2009/9/main" objectType="CheckBox" fmlaLink="$C$23" lockText="1"/>
</file>

<file path=xl/ctrlProps/ctrlProp11.xml><?xml version="1.0" encoding="utf-8"?>
<formControlPr xmlns="http://schemas.microsoft.com/office/spreadsheetml/2009/9/main" objectType="CheckBox" fmlaLink="$C$24" lockText="1"/>
</file>

<file path=xl/ctrlProps/ctrlProp12.xml><?xml version="1.0" encoding="utf-8"?>
<formControlPr xmlns="http://schemas.microsoft.com/office/spreadsheetml/2009/9/main" objectType="CheckBox" fmlaLink="$C$33" lockText="1"/>
</file>

<file path=xl/ctrlProps/ctrlProp13.xml><?xml version="1.0" encoding="utf-8"?>
<formControlPr xmlns="http://schemas.microsoft.com/office/spreadsheetml/2009/9/main" objectType="CheckBox" fmlaLink="$C$34" lockText="1"/>
</file>

<file path=xl/ctrlProps/ctrlProp14.xml><?xml version="1.0" encoding="utf-8"?>
<formControlPr xmlns="http://schemas.microsoft.com/office/spreadsheetml/2009/9/main" objectType="CheckBox" fmlaLink="$C$38" lockText="1"/>
</file>

<file path=xl/ctrlProps/ctrlProp15.xml><?xml version="1.0" encoding="utf-8"?>
<formControlPr xmlns="http://schemas.microsoft.com/office/spreadsheetml/2009/9/main" objectType="CheckBox" fmlaLink="$C$39" lockText="1"/>
</file>

<file path=xl/ctrlProps/ctrlProp16.xml><?xml version="1.0" encoding="utf-8"?>
<formControlPr xmlns="http://schemas.microsoft.com/office/spreadsheetml/2009/9/main" objectType="CheckBox" fmlaLink="$C$40" lockText="1"/>
</file>

<file path=xl/ctrlProps/ctrlProp17.xml><?xml version="1.0" encoding="utf-8"?>
<formControlPr xmlns="http://schemas.microsoft.com/office/spreadsheetml/2009/9/main" objectType="CheckBox" fmlaLink="$C$41" lockText="1"/>
</file>

<file path=xl/ctrlProps/ctrlProp18.xml><?xml version="1.0" encoding="utf-8"?>
<formControlPr xmlns="http://schemas.microsoft.com/office/spreadsheetml/2009/9/main" objectType="CheckBox" fmlaLink="$C$42" lockText="1"/>
</file>

<file path=xl/ctrlProps/ctrlProp19.xml><?xml version="1.0" encoding="utf-8"?>
<formControlPr xmlns="http://schemas.microsoft.com/office/spreadsheetml/2009/9/main" objectType="CheckBox" fmlaLink="$C$43" lockText="1"/>
</file>

<file path=xl/ctrlProps/ctrlProp2.xml><?xml version="1.0" encoding="utf-8"?>
<formControlPr xmlns="http://schemas.microsoft.com/office/spreadsheetml/2009/9/main" objectType="CheckBox" fmlaLink="$C$20" lockText="1"/>
</file>

<file path=xl/ctrlProps/ctrlProp20.xml><?xml version="1.0" encoding="utf-8"?>
<formControlPr xmlns="http://schemas.microsoft.com/office/spreadsheetml/2009/9/main" objectType="Drop" dropLines="5" dropStyle="combo" dx="22" fmlaLink="$Q$8" fmlaRange="$S$8:$S$12" noThreeD="1" sel="2" val="0"/>
</file>

<file path=xl/ctrlProps/ctrlProp21.xml><?xml version="1.0" encoding="utf-8"?>
<formControlPr xmlns="http://schemas.microsoft.com/office/spreadsheetml/2009/9/main" objectType="Drop" dropStyle="combo" dx="22" fmlaLink="$Q$10" fmlaRange="$T$8:$T$16" noThreeD="1" sel="7" val="0"/>
</file>

<file path=xl/ctrlProps/ctrlProp22.xml><?xml version="1.0" encoding="utf-8"?>
<formControlPr xmlns="http://schemas.microsoft.com/office/spreadsheetml/2009/9/main" objectType="Drop" dropLines="2" dropStyle="combo" dx="22" fmlaLink="$Q$16" fmlaRange="$U$8:$U$9" noThreeD="1" sel="2" val="0"/>
</file>

<file path=xl/ctrlProps/ctrlProp23.xml><?xml version="1.0" encoding="utf-8"?>
<formControlPr xmlns="http://schemas.microsoft.com/office/spreadsheetml/2009/9/main" objectType="Drop" dropLines="7" dropStyle="combo" dx="22" fmlaLink="$Q$12" fmlaRange="$V$8:$V$15" noThreeD="1" sel="7" val="0"/>
</file>

<file path=xl/ctrlProps/ctrlProp24.xml><?xml version="1.0" encoding="utf-8"?>
<formControlPr xmlns="http://schemas.microsoft.com/office/spreadsheetml/2009/9/main" objectType="CheckBox" fmlaLink="$C$46" lockText="1"/>
</file>

<file path=xl/ctrlProps/ctrlProp25.xml><?xml version="1.0" encoding="utf-8"?>
<formControlPr xmlns="http://schemas.microsoft.com/office/spreadsheetml/2009/9/main" objectType="CheckBox" fmlaLink="$C$49" lockText="1"/>
</file>

<file path=xl/ctrlProps/ctrlProp26.xml><?xml version="1.0" encoding="utf-8"?>
<formControlPr xmlns="http://schemas.microsoft.com/office/spreadsheetml/2009/9/main" objectType="CheckBox" checked="Checked" fmlaLink="$C$50" lockText="1"/>
</file>

<file path=xl/ctrlProps/ctrlProp27.xml><?xml version="1.0" encoding="utf-8"?>
<formControlPr xmlns="http://schemas.microsoft.com/office/spreadsheetml/2009/9/main" objectType="CheckBox" fmlaLink="$C$64" lockText="1"/>
</file>

<file path=xl/ctrlProps/ctrlProp28.xml><?xml version="1.0" encoding="utf-8"?>
<formControlPr xmlns="http://schemas.microsoft.com/office/spreadsheetml/2009/9/main" objectType="CheckBox" fmlaLink="$C$65" lockText="1"/>
</file>

<file path=xl/ctrlProps/ctrlProp29.xml><?xml version="1.0" encoding="utf-8"?>
<formControlPr xmlns="http://schemas.microsoft.com/office/spreadsheetml/2009/9/main" objectType="CheckBox" fmlaLink="$C$68" lockText="1"/>
</file>

<file path=xl/ctrlProps/ctrlProp3.xml><?xml version="1.0" encoding="utf-8"?>
<formControlPr xmlns="http://schemas.microsoft.com/office/spreadsheetml/2009/9/main" objectType="CheckBox" fmlaLink="C22" lockText="1"/>
</file>

<file path=xl/ctrlProps/ctrlProp30.xml><?xml version="1.0" encoding="utf-8"?>
<formControlPr xmlns="http://schemas.microsoft.com/office/spreadsheetml/2009/9/main" objectType="CheckBox" fmlaLink="$C$69" lockText="1"/>
</file>

<file path=xl/ctrlProps/ctrlProp31.xml><?xml version="1.0" encoding="utf-8"?>
<formControlPr xmlns="http://schemas.microsoft.com/office/spreadsheetml/2009/9/main" objectType="CheckBox" fmlaLink="$C$70" lockText="1"/>
</file>

<file path=xl/ctrlProps/ctrlProp32.xml><?xml version="1.0" encoding="utf-8"?>
<formControlPr xmlns="http://schemas.microsoft.com/office/spreadsheetml/2009/9/main" objectType="CheckBox" checked="Checked" fmlaLink="$C$72" lockText="1"/>
</file>

<file path=xl/ctrlProps/ctrlProp33.xml><?xml version="1.0" encoding="utf-8"?>
<formControlPr xmlns="http://schemas.microsoft.com/office/spreadsheetml/2009/9/main" objectType="CheckBox" fmlaLink="$C$75" lockText="1"/>
</file>

<file path=xl/ctrlProps/ctrlProp34.xml><?xml version="1.0" encoding="utf-8"?>
<formControlPr xmlns="http://schemas.microsoft.com/office/spreadsheetml/2009/9/main" objectType="Drop" dropLines="4" dropStyle="combo" dx="22" fmlaLink="$Q$18" fmlaRange="$W$8:$W$11" noThreeD="1" sel="3" val="0"/>
</file>

<file path=xl/ctrlProps/ctrlProp35.xml><?xml version="1.0" encoding="utf-8"?>
<formControlPr xmlns="http://schemas.microsoft.com/office/spreadsheetml/2009/9/main" objectType="CheckBox" fmlaLink="$C$47" lockText="1"/>
</file>

<file path=xl/ctrlProps/ctrlProp36.xml><?xml version="1.0" encoding="utf-8"?>
<formControlPr xmlns="http://schemas.microsoft.com/office/spreadsheetml/2009/9/main" objectType="CheckBox" fmlaLink="$C$22" lockText="1"/>
</file>

<file path=xl/ctrlProps/ctrlProp37.xml><?xml version="1.0" encoding="utf-8"?>
<formControlPr xmlns="http://schemas.microsoft.com/office/spreadsheetml/2009/9/main" objectType="CheckBox" fmlaLink="$C$23" lockText="1"/>
</file>

<file path=xl/ctrlProps/ctrlProp38.xml><?xml version="1.0" encoding="utf-8"?>
<formControlPr xmlns="http://schemas.microsoft.com/office/spreadsheetml/2009/9/main" objectType="CheckBox" fmlaLink="$C$24" lockText="1"/>
</file>

<file path=xl/ctrlProps/ctrlProp39.xml><?xml version="1.0" encoding="utf-8"?>
<formControlPr xmlns="http://schemas.microsoft.com/office/spreadsheetml/2009/9/main" objectType="CheckBox" fmlaLink="C20" lockText="1"/>
</file>

<file path=xl/ctrlProps/ctrlProp4.xml><?xml version="1.0" encoding="utf-8"?>
<formControlPr xmlns="http://schemas.microsoft.com/office/spreadsheetml/2009/9/main" objectType="CheckBox" fmlaLink="C23" lockText="1"/>
</file>

<file path=xl/ctrlProps/ctrlProp40.xml><?xml version="1.0" encoding="utf-8"?>
<formControlPr xmlns="http://schemas.microsoft.com/office/spreadsheetml/2009/9/main" objectType="CheckBox" fmlaLink="C19" lockText="1"/>
</file>

<file path=xl/ctrlProps/ctrlProp41.xml><?xml version="1.0" encoding="utf-8"?>
<formControlPr xmlns="http://schemas.microsoft.com/office/spreadsheetml/2009/9/main" objectType="CheckBox" fmlaLink="$C$20" lockText="1"/>
</file>

<file path=xl/ctrlProps/ctrlProp42.xml><?xml version="1.0" encoding="utf-8"?>
<formControlPr xmlns="http://schemas.microsoft.com/office/spreadsheetml/2009/9/main" objectType="CheckBox" fmlaLink="$C$19" lockText="1"/>
</file>

<file path=xl/ctrlProps/ctrlProp43.xml><?xml version="1.0" encoding="utf-8"?>
<formControlPr xmlns="http://schemas.microsoft.com/office/spreadsheetml/2009/9/main" objectType="CheckBox" fmlaLink="$C$39" lockText="1"/>
</file>

<file path=xl/ctrlProps/ctrlProp44.xml><?xml version="1.0" encoding="utf-8"?>
<formControlPr xmlns="http://schemas.microsoft.com/office/spreadsheetml/2009/9/main" objectType="CheckBox" fmlaLink="$C$40" lockText="1"/>
</file>

<file path=xl/ctrlProps/ctrlProp45.xml><?xml version="1.0" encoding="utf-8"?>
<formControlPr xmlns="http://schemas.microsoft.com/office/spreadsheetml/2009/9/main" objectType="CheckBox" fmlaLink="$C$41" lockText="1"/>
</file>

<file path=xl/ctrlProps/ctrlProp46.xml><?xml version="1.0" encoding="utf-8"?>
<formControlPr xmlns="http://schemas.microsoft.com/office/spreadsheetml/2009/9/main" objectType="CheckBox" fmlaLink="$C$42" lockText="1"/>
</file>

<file path=xl/ctrlProps/ctrlProp47.xml><?xml version="1.0" encoding="utf-8"?>
<formControlPr xmlns="http://schemas.microsoft.com/office/spreadsheetml/2009/9/main" objectType="CheckBox" fmlaLink="$C$43" lockText="1"/>
</file>

<file path=xl/ctrlProps/ctrlProp48.xml><?xml version="1.0" encoding="utf-8"?>
<formControlPr xmlns="http://schemas.microsoft.com/office/spreadsheetml/2009/9/main" objectType="CheckBox" checked="Checked" fmlaLink="$C$71" lockText="1"/>
</file>

<file path=xl/ctrlProps/ctrlProp49.xml><?xml version="1.0" encoding="utf-8"?>
<formControlPr xmlns="http://schemas.microsoft.com/office/spreadsheetml/2009/9/main" objectType="CheckBox" fmlaLink="$C$66" lockText="1"/>
</file>

<file path=xl/ctrlProps/ctrlProp5.xml><?xml version="1.0" encoding="utf-8"?>
<formControlPr xmlns="http://schemas.microsoft.com/office/spreadsheetml/2009/9/main" objectType="CheckBox" fmlaLink="C24" lockText="1"/>
</file>

<file path=xl/ctrlProps/ctrlProp50.xml><?xml version="1.0" encoding="utf-8"?>
<formControlPr xmlns="http://schemas.microsoft.com/office/spreadsheetml/2009/9/main" objectType="CheckBox" fmlaLink="$C$48" lockText="1"/>
</file>

<file path=xl/ctrlProps/ctrlProp51.xml><?xml version="1.0" encoding="utf-8"?>
<formControlPr xmlns="http://schemas.microsoft.com/office/spreadsheetml/2009/9/main" objectType="CheckBox" fmlaLink="$C$76" lockText="1"/>
</file>

<file path=xl/ctrlProps/ctrlProp52.xml><?xml version="1.0" encoding="utf-8"?>
<formControlPr xmlns="http://schemas.microsoft.com/office/spreadsheetml/2009/9/main" objectType="CheckBox" fmlaLink="$C$77" lockText="1"/>
</file>

<file path=xl/ctrlProps/ctrlProp53.xml><?xml version="1.0" encoding="utf-8"?>
<formControlPr xmlns="http://schemas.microsoft.com/office/spreadsheetml/2009/9/main" objectType="CheckBox" fmlaLink="$C$78" lockText="1"/>
</file>

<file path=xl/ctrlProps/ctrlProp54.xml><?xml version="1.0" encoding="utf-8"?>
<formControlPr xmlns="http://schemas.microsoft.com/office/spreadsheetml/2009/9/main" objectType="CheckBox" fmlaLink="$C$79" lockText="1"/>
</file>

<file path=xl/ctrlProps/ctrlProp55.xml><?xml version="1.0" encoding="utf-8"?>
<formControlPr xmlns="http://schemas.microsoft.com/office/spreadsheetml/2009/9/main" objectType="CheckBox" fmlaLink="$C$80" lockText="1"/>
</file>

<file path=xl/ctrlProps/ctrlProp56.xml><?xml version="1.0" encoding="utf-8"?>
<formControlPr xmlns="http://schemas.microsoft.com/office/spreadsheetml/2009/9/main" objectType="CheckBox" fmlaLink="$C$83" lockText="1"/>
</file>

<file path=xl/ctrlProps/ctrlProp57.xml><?xml version="1.0" encoding="utf-8"?>
<formControlPr xmlns="http://schemas.microsoft.com/office/spreadsheetml/2009/9/main" objectType="CheckBox" fmlaLink="$C$84" lockText="1"/>
</file>

<file path=xl/ctrlProps/ctrlProp58.xml><?xml version="1.0" encoding="utf-8"?>
<formControlPr xmlns="http://schemas.microsoft.com/office/spreadsheetml/2009/9/main" objectType="CheckBox" fmlaLink="$C$85" lockText="1"/>
</file>

<file path=xl/ctrlProps/ctrlProp59.xml><?xml version="1.0" encoding="utf-8"?>
<formControlPr xmlns="http://schemas.microsoft.com/office/spreadsheetml/2009/9/main" objectType="CheckBox" fmlaLink="$C$86" lockText="1"/>
</file>

<file path=xl/ctrlProps/ctrlProp6.xml><?xml version="1.0" encoding="utf-8"?>
<formControlPr xmlns="http://schemas.microsoft.com/office/spreadsheetml/2009/9/main" objectType="CheckBox" fmlaLink="C19" lockText="1"/>
</file>

<file path=xl/ctrlProps/ctrlProp60.xml><?xml version="1.0" encoding="utf-8"?>
<formControlPr xmlns="http://schemas.microsoft.com/office/spreadsheetml/2009/9/main" objectType="CheckBox" fmlaLink="$C$87" lockText="1"/>
</file>

<file path=xl/ctrlProps/ctrlProp61.xml><?xml version="1.0" encoding="utf-8"?>
<formControlPr xmlns="http://schemas.microsoft.com/office/spreadsheetml/2009/9/main" objectType="CheckBox" fmlaLink="$C$89" lockText="1"/>
</file>

<file path=xl/ctrlProps/ctrlProp62.xml><?xml version="1.0" encoding="utf-8"?>
<formControlPr xmlns="http://schemas.microsoft.com/office/spreadsheetml/2009/9/main" objectType="CheckBox" fmlaLink="$C$25" lockText="1"/>
</file>

<file path=xl/ctrlProps/ctrlProp63.xml><?xml version="1.0" encoding="utf-8"?>
<formControlPr xmlns="http://schemas.microsoft.com/office/spreadsheetml/2009/9/main" objectType="CheckBox" fmlaLink="$C$26" lockText="1"/>
</file>

<file path=xl/ctrlProps/ctrlProp64.xml><?xml version="1.0" encoding="utf-8"?>
<formControlPr xmlns="http://schemas.microsoft.com/office/spreadsheetml/2009/9/main" objectType="CheckBox" fmlaLink="$C$27" lockText="1"/>
</file>

<file path=xl/ctrlProps/ctrlProp65.xml><?xml version="1.0" encoding="utf-8"?>
<formControlPr xmlns="http://schemas.microsoft.com/office/spreadsheetml/2009/9/main" objectType="CheckBox" fmlaLink="$C$28" lockText="1"/>
</file>

<file path=xl/ctrlProps/ctrlProp66.xml><?xml version="1.0" encoding="utf-8"?>
<formControlPr xmlns="http://schemas.microsoft.com/office/spreadsheetml/2009/9/main" objectType="CheckBox" fmlaLink="$C$35" lockText="1"/>
</file>

<file path=xl/ctrlProps/ctrlProp67.xml><?xml version="1.0" encoding="utf-8"?>
<formControlPr xmlns="http://schemas.microsoft.com/office/spreadsheetml/2009/9/main" objectType="CheckBox" fmlaLink="$C$57" lockText="1"/>
</file>

<file path=xl/ctrlProps/ctrlProp68.xml><?xml version="1.0" encoding="utf-8"?>
<formControlPr xmlns="http://schemas.microsoft.com/office/spreadsheetml/2009/9/main" objectType="CheckBox" fmlaLink="$C$58" lockText="1"/>
</file>

<file path=xl/ctrlProps/ctrlProp69.xml><?xml version="1.0" encoding="utf-8"?>
<formControlPr xmlns="http://schemas.microsoft.com/office/spreadsheetml/2009/9/main" objectType="CheckBox" fmlaLink="$C$61" lockText="1"/>
</file>

<file path=xl/ctrlProps/ctrlProp7.xml><?xml version="1.0" encoding="utf-8"?>
<formControlPr xmlns="http://schemas.microsoft.com/office/spreadsheetml/2009/9/main" objectType="CheckBox" fmlaLink="C19" lockText="1"/>
</file>

<file path=xl/ctrlProps/ctrlProp70.xml><?xml version="1.0" encoding="utf-8"?>
<formControlPr xmlns="http://schemas.microsoft.com/office/spreadsheetml/2009/9/main" objectType="CheckBox" fmlaLink="$C$59" lockText="1"/>
</file>

<file path=xl/ctrlProps/ctrlProp71.xml><?xml version="1.0" encoding="utf-8"?>
<formControlPr xmlns="http://schemas.microsoft.com/office/spreadsheetml/2009/9/main" objectType="CheckBox" fmlaLink="$C$60" lockText="1"/>
</file>

<file path=xl/ctrlProps/ctrlProp72.xml><?xml version="1.0" encoding="utf-8"?>
<formControlPr xmlns="http://schemas.microsoft.com/office/spreadsheetml/2009/9/main" objectType="CheckBox" fmlaLink="$C$67" lockText="1"/>
</file>

<file path=xl/ctrlProps/ctrlProp73.xml><?xml version="1.0" encoding="utf-8"?>
<formControlPr xmlns="http://schemas.microsoft.com/office/spreadsheetml/2009/9/main" objectType="CheckBox" fmlaLink="$C$53" lockText="1"/>
</file>

<file path=xl/ctrlProps/ctrlProp74.xml><?xml version="1.0" encoding="utf-8"?>
<formControlPr xmlns="http://schemas.microsoft.com/office/spreadsheetml/2009/9/main" objectType="CheckBox" fmlaLink="$C$88" lockText="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C19" lockText="1"/>
</file>

<file path=xl/ctrlProps/ctrlProp9.xml><?xml version="1.0" encoding="utf-8"?>
<formControlPr xmlns="http://schemas.microsoft.com/office/spreadsheetml/2009/9/main" objectType="CheckBox" fmlaLink="$C$21" lockText="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17</xdr:row>
          <xdr:rowOff>133350</xdr:rowOff>
        </xdr:from>
        <xdr:to>
          <xdr:col>3</xdr:col>
          <xdr:colOff>114300</xdr:colOff>
          <xdr:row>19</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152400</xdr:rowOff>
        </xdr:from>
        <xdr:to>
          <xdr:col>3</xdr:col>
          <xdr:colOff>114300</xdr:colOff>
          <xdr:row>20</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133350</xdr:rowOff>
        </xdr:from>
        <xdr:to>
          <xdr:col>3</xdr:col>
          <xdr:colOff>114300</xdr:colOff>
          <xdr:row>21</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133350</xdr:rowOff>
        </xdr:from>
        <xdr:to>
          <xdr:col>3</xdr:col>
          <xdr:colOff>114300</xdr:colOff>
          <xdr:row>23</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133350</xdr:rowOff>
        </xdr:from>
        <xdr:to>
          <xdr:col>3</xdr:col>
          <xdr:colOff>114300</xdr:colOff>
          <xdr:row>24</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133350</xdr:rowOff>
        </xdr:from>
        <xdr:to>
          <xdr:col>3</xdr:col>
          <xdr:colOff>114300</xdr:colOff>
          <xdr:row>21</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133350</xdr:rowOff>
        </xdr:from>
        <xdr:to>
          <xdr:col>3</xdr:col>
          <xdr:colOff>114300</xdr:colOff>
          <xdr:row>23</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133350</xdr:rowOff>
        </xdr:from>
        <xdr:to>
          <xdr:col>3</xdr:col>
          <xdr:colOff>114300</xdr:colOff>
          <xdr:row>24</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133350</xdr:rowOff>
        </xdr:from>
        <xdr:to>
          <xdr:col>3</xdr:col>
          <xdr:colOff>114300</xdr:colOff>
          <xdr:row>21</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133350</xdr:rowOff>
        </xdr:from>
        <xdr:to>
          <xdr:col>3</xdr:col>
          <xdr:colOff>114300</xdr:colOff>
          <xdr:row>23</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133350</xdr:rowOff>
        </xdr:from>
        <xdr:to>
          <xdr:col>3</xdr:col>
          <xdr:colOff>114300</xdr:colOff>
          <xdr:row>24</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133350</xdr:rowOff>
        </xdr:from>
        <xdr:to>
          <xdr:col>3</xdr:col>
          <xdr:colOff>114300</xdr:colOff>
          <xdr:row>33</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133350</xdr:rowOff>
        </xdr:from>
        <xdr:to>
          <xdr:col>3</xdr:col>
          <xdr:colOff>114300</xdr:colOff>
          <xdr:row>34</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133350</xdr:rowOff>
        </xdr:from>
        <xdr:to>
          <xdr:col>3</xdr:col>
          <xdr:colOff>114300</xdr:colOff>
          <xdr:row>38</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133350</xdr:rowOff>
        </xdr:from>
        <xdr:to>
          <xdr:col>3</xdr:col>
          <xdr:colOff>114300</xdr:colOff>
          <xdr:row>39</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133350</xdr:rowOff>
        </xdr:from>
        <xdr:to>
          <xdr:col>3</xdr:col>
          <xdr:colOff>114300</xdr:colOff>
          <xdr:row>40</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133350</xdr:rowOff>
        </xdr:from>
        <xdr:to>
          <xdr:col>3</xdr:col>
          <xdr:colOff>114300</xdr:colOff>
          <xdr:row>41</xdr:row>
          <xdr:rowOff>28575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133350</xdr:rowOff>
        </xdr:from>
        <xdr:to>
          <xdr:col>3</xdr:col>
          <xdr:colOff>114300</xdr:colOff>
          <xdr:row>42</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133350</xdr:rowOff>
        </xdr:from>
        <xdr:to>
          <xdr:col>3</xdr:col>
          <xdr:colOff>114300</xdr:colOff>
          <xdr:row>43</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xdr:row>
          <xdr:rowOff>9525</xdr:rowOff>
        </xdr:from>
        <xdr:to>
          <xdr:col>13</xdr:col>
          <xdr:colOff>590550</xdr:colOff>
          <xdr:row>7</xdr:row>
          <xdr:rowOff>9525</xdr:rowOff>
        </xdr:to>
        <xdr:sp macro="" textlink="">
          <xdr:nvSpPr>
            <xdr:cNvPr id="1086" name="Drop Dow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0</xdr:rowOff>
        </xdr:from>
        <xdr:to>
          <xdr:col>13</xdr:col>
          <xdr:colOff>590550</xdr:colOff>
          <xdr:row>10</xdr:row>
          <xdr:rowOff>0</xdr:rowOff>
        </xdr:to>
        <xdr:sp macro="" textlink="">
          <xdr:nvSpPr>
            <xdr:cNvPr id="1087" name="Drop Dow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9</xdr:col>
          <xdr:colOff>542925</xdr:colOff>
          <xdr:row>9</xdr:row>
          <xdr:rowOff>0</xdr:rowOff>
        </xdr:to>
        <xdr:sp macro="" textlink="">
          <xdr:nvSpPr>
            <xdr:cNvPr id="1088" name="Drop Dow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0</xdr:rowOff>
        </xdr:from>
        <xdr:to>
          <xdr:col>9</xdr:col>
          <xdr:colOff>533400</xdr:colOff>
          <xdr:row>10</xdr:row>
          <xdr:rowOff>0</xdr:rowOff>
        </xdr:to>
        <xdr:sp macro="" textlink="">
          <xdr:nvSpPr>
            <xdr:cNvPr id="1090" name="Drop Dow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133350</xdr:rowOff>
        </xdr:from>
        <xdr:to>
          <xdr:col>3</xdr:col>
          <xdr:colOff>114300</xdr:colOff>
          <xdr:row>46</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133350</xdr:rowOff>
        </xdr:from>
        <xdr:to>
          <xdr:col>3</xdr:col>
          <xdr:colOff>114300</xdr:colOff>
          <xdr:row>49</xdr:row>
          <xdr:rowOff>28575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133350</xdr:rowOff>
        </xdr:from>
        <xdr:to>
          <xdr:col>3</xdr:col>
          <xdr:colOff>114300</xdr:colOff>
          <xdr:row>50</xdr:row>
          <xdr:rowOff>28575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133350</xdr:rowOff>
        </xdr:from>
        <xdr:to>
          <xdr:col>3</xdr:col>
          <xdr:colOff>114300</xdr:colOff>
          <xdr:row>64</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133350</xdr:rowOff>
        </xdr:from>
        <xdr:to>
          <xdr:col>3</xdr:col>
          <xdr:colOff>114300</xdr:colOff>
          <xdr:row>65</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142875</xdr:rowOff>
        </xdr:from>
        <xdr:to>
          <xdr:col>3</xdr:col>
          <xdr:colOff>114300</xdr:colOff>
          <xdr:row>68</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133350</xdr:rowOff>
        </xdr:from>
        <xdr:to>
          <xdr:col>3</xdr:col>
          <xdr:colOff>114300</xdr:colOff>
          <xdr:row>69</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133350</xdr:rowOff>
        </xdr:from>
        <xdr:to>
          <xdr:col>3</xdr:col>
          <xdr:colOff>114300</xdr:colOff>
          <xdr:row>70</xdr:row>
          <xdr:rowOff>28575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133350</xdr:rowOff>
        </xdr:from>
        <xdr:to>
          <xdr:col>3</xdr:col>
          <xdr:colOff>114300</xdr:colOff>
          <xdr:row>72</xdr:row>
          <xdr:rowOff>28575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133350</xdr:rowOff>
        </xdr:from>
        <xdr:to>
          <xdr:col>3</xdr:col>
          <xdr:colOff>114300</xdr:colOff>
          <xdr:row>75</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xdr:row>
          <xdr:rowOff>0</xdr:rowOff>
        </xdr:from>
        <xdr:to>
          <xdr:col>13</xdr:col>
          <xdr:colOff>590550</xdr:colOff>
          <xdr:row>11</xdr:row>
          <xdr:rowOff>0</xdr:rowOff>
        </xdr:to>
        <xdr:sp macro="" textlink="">
          <xdr:nvSpPr>
            <xdr:cNvPr id="1118" name="Drop Dow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133350</xdr:rowOff>
        </xdr:from>
        <xdr:to>
          <xdr:col>3</xdr:col>
          <xdr:colOff>114300</xdr:colOff>
          <xdr:row>47</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133350</xdr:rowOff>
        </xdr:from>
        <xdr:to>
          <xdr:col>3</xdr:col>
          <xdr:colOff>114300</xdr:colOff>
          <xdr:row>22</xdr:row>
          <xdr:rowOff>28575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133350</xdr:rowOff>
        </xdr:from>
        <xdr:to>
          <xdr:col>3</xdr:col>
          <xdr:colOff>114300</xdr:colOff>
          <xdr:row>23</xdr:row>
          <xdr:rowOff>28575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133350</xdr:rowOff>
        </xdr:from>
        <xdr:to>
          <xdr:col>3</xdr:col>
          <xdr:colOff>114300</xdr:colOff>
          <xdr:row>24</xdr:row>
          <xdr:rowOff>28575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133350</xdr:rowOff>
        </xdr:from>
        <xdr:to>
          <xdr:col>3</xdr:col>
          <xdr:colOff>114300</xdr:colOff>
          <xdr:row>19</xdr:row>
          <xdr:rowOff>19050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133350</xdr:rowOff>
        </xdr:from>
        <xdr:to>
          <xdr:col>3</xdr:col>
          <xdr:colOff>114300</xdr:colOff>
          <xdr:row>19</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133350</xdr:rowOff>
        </xdr:from>
        <xdr:to>
          <xdr:col>3</xdr:col>
          <xdr:colOff>114300</xdr:colOff>
          <xdr:row>19</xdr:row>
          <xdr:rowOff>19050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133350</xdr:rowOff>
        </xdr:from>
        <xdr:to>
          <xdr:col>3</xdr:col>
          <xdr:colOff>114300</xdr:colOff>
          <xdr:row>19</xdr:row>
          <xdr:rowOff>19050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133350</xdr:rowOff>
        </xdr:from>
        <xdr:to>
          <xdr:col>3</xdr:col>
          <xdr:colOff>114300</xdr:colOff>
          <xdr:row>39</xdr:row>
          <xdr:rowOff>19050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133350</xdr:rowOff>
        </xdr:from>
        <xdr:to>
          <xdr:col>3</xdr:col>
          <xdr:colOff>114300</xdr:colOff>
          <xdr:row>40</xdr:row>
          <xdr:rowOff>28575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133350</xdr:rowOff>
        </xdr:from>
        <xdr:to>
          <xdr:col>3</xdr:col>
          <xdr:colOff>114300</xdr:colOff>
          <xdr:row>41</xdr:row>
          <xdr:rowOff>28575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133350</xdr:rowOff>
        </xdr:from>
        <xdr:to>
          <xdr:col>3</xdr:col>
          <xdr:colOff>114300</xdr:colOff>
          <xdr:row>42</xdr:row>
          <xdr:rowOff>28575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133350</xdr:rowOff>
        </xdr:from>
        <xdr:to>
          <xdr:col>3</xdr:col>
          <xdr:colOff>114300</xdr:colOff>
          <xdr:row>43</xdr:row>
          <xdr:rowOff>28575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133350</xdr:rowOff>
        </xdr:from>
        <xdr:to>
          <xdr:col>3</xdr:col>
          <xdr:colOff>114300</xdr:colOff>
          <xdr:row>71</xdr:row>
          <xdr:rowOff>28575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133350</xdr:rowOff>
        </xdr:from>
        <xdr:to>
          <xdr:col>3</xdr:col>
          <xdr:colOff>114300</xdr:colOff>
          <xdr:row>66</xdr:row>
          <xdr:rowOff>28575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133350</xdr:rowOff>
        </xdr:from>
        <xdr:to>
          <xdr:col>3</xdr:col>
          <xdr:colOff>114300</xdr:colOff>
          <xdr:row>48</xdr:row>
          <xdr:rowOff>28575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133350</xdr:rowOff>
        </xdr:from>
        <xdr:to>
          <xdr:col>3</xdr:col>
          <xdr:colOff>114300</xdr:colOff>
          <xdr:row>76</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133350</xdr:rowOff>
        </xdr:from>
        <xdr:to>
          <xdr:col>3</xdr:col>
          <xdr:colOff>114300</xdr:colOff>
          <xdr:row>77</xdr:row>
          <xdr:rowOff>28575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76</xdr:row>
          <xdr:rowOff>133350</xdr:rowOff>
        </xdr:from>
        <xdr:to>
          <xdr:col>3</xdr:col>
          <xdr:colOff>114300</xdr:colOff>
          <xdr:row>78</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77</xdr:row>
          <xdr:rowOff>133350</xdr:rowOff>
        </xdr:from>
        <xdr:to>
          <xdr:col>3</xdr:col>
          <xdr:colOff>114300</xdr:colOff>
          <xdr:row>79</xdr:row>
          <xdr:rowOff>28575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133350</xdr:rowOff>
        </xdr:from>
        <xdr:to>
          <xdr:col>3</xdr:col>
          <xdr:colOff>114300</xdr:colOff>
          <xdr:row>80</xdr:row>
          <xdr:rowOff>28575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133350</xdr:rowOff>
        </xdr:from>
        <xdr:to>
          <xdr:col>3</xdr:col>
          <xdr:colOff>114300</xdr:colOff>
          <xdr:row>83</xdr:row>
          <xdr:rowOff>28575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82</xdr:row>
          <xdr:rowOff>133350</xdr:rowOff>
        </xdr:from>
        <xdr:to>
          <xdr:col>3</xdr:col>
          <xdr:colOff>114300</xdr:colOff>
          <xdr:row>84</xdr:row>
          <xdr:rowOff>28575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83</xdr:row>
          <xdr:rowOff>133350</xdr:rowOff>
        </xdr:from>
        <xdr:to>
          <xdr:col>3</xdr:col>
          <xdr:colOff>114300</xdr:colOff>
          <xdr:row>85</xdr:row>
          <xdr:rowOff>28575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84</xdr:row>
          <xdr:rowOff>133350</xdr:rowOff>
        </xdr:from>
        <xdr:to>
          <xdr:col>3</xdr:col>
          <xdr:colOff>114300</xdr:colOff>
          <xdr:row>86</xdr:row>
          <xdr:rowOff>28575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85</xdr:row>
          <xdr:rowOff>133350</xdr:rowOff>
        </xdr:from>
        <xdr:to>
          <xdr:col>3</xdr:col>
          <xdr:colOff>114300</xdr:colOff>
          <xdr:row>87</xdr:row>
          <xdr:rowOff>28575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87</xdr:row>
          <xdr:rowOff>133350</xdr:rowOff>
        </xdr:from>
        <xdr:to>
          <xdr:col>3</xdr:col>
          <xdr:colOff>114300</xdr:colOff>
          <xdr:row>89</xdr:row>
          <xdr:rowOff>28575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123825</xdr:rowOff>
        </xdr:from>
        <xdr:to>
          <xdr:col>3</xdr:col>
          <xdr:colOff>114300</xdr:colOff>
          <xdr:row>25</xdr:row>
          <xdr:rowOff>19050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24</xdr:row>
          <xdr:rowOff>123825</xdr:rowOff>
        </xdr:from>
        <xdr:to>
          <xdr:col>3</xdr:col>
          <xdr:colOff>114300</xdr:colOff>
          <xdr:row>26</xdr:row>
          <xdr:rowOff>19050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142875</xdr:rowOff>
        </xdr:from>
        <xdr:to>
          <xdr:col>3</xdr:col>
          <xdr:colOff>114300</xdr:colOff>
          <xdr:row>27</xdr:row>
          <xdr:rowOff>38100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26</xdr:row>
          <xdr:rowOff>142875</xdr:rowOff>
        </xdr:from>
        <xdr:to>
          <xdr:col>3</xdr:col>
          <xdr:colOff>114300</xdr:colOff>
          <xdr:row>28</xdr:row>
          <xdr:rowOff>28575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133350</xdr:rowOff>
        </xdr:from>
        <xdr:to>
          <xdr:col>3</xdr:col>
          <xdr:colOff>114300</xdr:colOff>
          <xdr:row>35</xdr:row>
          <xdr:rowOff>28575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133350</xdr:rowOff>
        </xdr:from>
        <xdr:to>
          <xdr:col>3</xdr:col>
          <xdr:colOff>114300</xdr:colOff>
          <xdr:row>57</xdr:row>
          <xdr:rowOff>9525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142875</xdr:rowOff>
        </xdr:from>
        <xdr:to>
          <xdr:col>3</xdr:col>
          <xdr:colOff>114300</xdr:colOff>
          <xdr:row>58</xdr:row>
          <xdr:rowOff>19050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142875</xdr:rowOff>
        </xdr:from>
        <xdr:to>
          <xdr:col>3</xdr:col>
          <xdr:colOff>114300</xdr:colOff>
          <xdr:row>61</xdr:row>
          <xdr:rowOff>38100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133350</xdr:rowOff>
        </xdr:from>
        <xdr:to>
          <xdr:col>3</xdr:col>
          <xdr:colOff>114300</xdr:colOff>
          <xdr:row>59</xdr:row>
          <xdr:rowOff>28575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133350</xdr:rowOff>
        </xdr:from>
        <xdr:to>
          <xdr:col>3</xdr:col>
          <xdr:colOff>114300</xdr:colOff>
          <xdr:row>60</xdr:row>
          <xdr:rowOff>28575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142875</xdr:rowOff>
        </xdr:from>
        <xdr:to>
          <xdr:col>3</xdr:col>
          <xdr:colOff>114300</xdr:colOff>
          <xdr:row>67</xdr:row>
          <xdr:rowOff>38100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133350</xdr:rowOff>
        </xdr:from>
        <xdr:to>
          <xdr:col>3</xdr:col>
          <xdr:colOff>114300</xdr:colOff>
          <xdr:row>53</xdr:row>
          <xdr:rowOff>19050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86</xdr:row>
          <xdr:rowOff>142875</xdr:rowOff>
        </xdr:from>
        <xdr:to>
          <xdr:col>3</xdr:col>
          <xdr:colOff>114300</xdr:colOff>
          <xdr:row>88</xdr:row>
          <xdr:rowOff>38100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554831</xdr:colOff>
      <xdr:row>182</xdr:row>
      <xdr:rowOff>70247</xdr:rowOff>
    </xdr:from>
    <xdr:to>
      <xdr:col>4</xdr:col>
      <xdr:colOff>802481</xdr:colOff>
      <xdr:row>182</xdr:row>
      <xdr:rowOff>279797</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1373981" y="39922847"/>
          <a:ext cx="247650" cy="209550"/>
        </a:xfrm>
        <a:prstGeom prst="rect">
          <a:avLst/>
        </a:prstGeom>
        <a:solidFill>
          <a:srgbClr val="FFFFFF"/>
        </a:solidFill>
        <a:ln w="9525">
          <a:solidFill>
            <a:srgbClr val="000000"/>
          </a:solidFill>
          <a:miter lim="800000"/>
          <a:headEnd/>
          <a:tailEnd/>
        </a:ln>
      </xdr:spPr>
    </xdr:sp>
    <xdr:clientData/>
  </xdr:twoCellAnchor>
  <xdr:twoCellAnchor>
    <xdr:from>
      <xdr:col>7</xdr:col>
      <xdr:colOff>398859</xdr:colOff>
      <xdr:row>182</xdr:row>
      <xdr:rowOff>71437</xdr:rowOff>
    </xdr:from>
    <xdr:to>
      <xdr:col>7</xdr:col>
      <xdr:colOff>646509</xdr:colOff>
      <xdr:row>182</xdr:row>
      <xdr:rowOff>280987</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3056334" y="39924037"/>
          <a:ext cx="247650" cy="20955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571500</xdr:colOff>
          <xdr:row>182</xdr:row>
          <xdr:rowOff>19050</xdr:rowOff>
        </xdr:from>
        <xdr:to>
          <xdr:col>5</xdr:col>
          <xdr:colOff>9525</xdr:colOff>
          <xdr:row>183</xdr:row>
          <xdr:rowOff>47625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182</xdr:row>
          <xdr:rowOff>19050</xdr:rowOff>
        </xdr:from>
        <xdr:to>
          <xdr:col>8</xdr:col>
          <xdr:colOff>66675</xdr:colOff>
          <xdr:row>183</xdr:row>
          <xdr:rowOff>47625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16" Type="http://schemas.openxmlformats.org/officeDocument/2006/relationships/ctrlProp" Target="../ctrlProps/ctrlProp1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4" Type="http://schemas.openxmlformats.org/officeDocument/2006/relationships/vmlDrawing" Target="../drawings/vmlDrawing2.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drawing" Target="../drawings/drawing1.xml"/><Relationship Id="rId29"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202"/>
  <sheetViews>
    <sheetView showGridLines="0" showRowColHeaders="0" tabSelected="1" view="pageBreakPreview" zoomScale="120" zoomScaleNormal="120" zoomScaleSheetLayoutView="120" workbookViewId="0">
      <selection activeCell="E3" sqref="E3:G3"/>
    </sheetView>
  </sheetViews>
  <sheetFormatPr defaultRowHeight="12.75" x14ac:dyDescent="0.2"/>
  <cols>
    <col min="1" max="1" width="1.5703125" customWidth="1"/>
    <col min="2" max="2" width="2.85546875" style="1" customWidth="1"/>
    <col min="3" max="3" width="8.85546875" style="1" hidden="1" customWidth="1"/>
    <col min="4" max="4" width="7.7109375" style="1" customWidth="1"/>
    <col min="5" max="5" width="13" style="1" customWidth="1"/>
    <col min="6" max="6" width="8.5703125" style="1" customWidth="1"/>
    <col min="7" max="7" width="7.140625" style="1" customWidth="1"/>
    <col min="8" max="9" width="9.7109375" style="1" customWidth="1"/>
    <col min="10" max="10" width="9.28515625" style="1" customWidth="1"/>
    <col min="11" max="11" width="6.42578125" style="1" customWidth="1"/>
    <col min="12" max="12" width="4.5703125" style="1" customWidth="1"/>
    <col min="13" max="13" width="9" style="1" customWidth="1"/>
    <col min="14" max="14" width="9.5703125" style="1" customWidth="1"/>
    <col min="15" max="15" width="1.5703125" style="1" customWidth="1"/>
    <col min="16" max="16" width="9.140625" style="1" hidden="1" customWidth="1"/>
    <col min="17" max="33" width="11" style="1" hidden="1" customWidth="1"/>
    <col min="34" max="55" width="9.140625" style="1" hidden="1" customWidth="1"/>
    <col min="56" max="60" width="9.140625" hidden="1" customWidth="1"/>
    <col min="61" max="61" width="10.140625" style="107" hidden="1" customWidth="1"/>
    <col min="62" max="62" width="7.42578125" style="134" hidden="1" customWidth="1"/>
    <col min="63" max="64" width="9.140625" hidden="1" customWidth="1"/>
    <col min="65" max="77" width="9.140625" customWidth="1"/>
  </cols>
  <sheetData>
    <row r="1" spans="2:62" ht="7.5" customHeight="1" x14ac:dyDescent="0.2">
      <c r="B1" s="192"/>
      <c r="C1" s="192"/>
      <c r="D1" s="192"/>
      <c r="E1" s="192"/>
      <c r="F1" s="192"/>
      <c r="G1" s="192"/>
      <c r="H1" s="192"/>
      <c r="I1" s="192"/>
      <c r="J1" s="192"/>
      <c r="K1" s="192"/>
      <c r="L1" s="192"/>
      <c r="M1" s="192"/>
      <c r="N1" s="192"/>
    </row>
    <row r="2" spans="2:62" ht="15" x14ac:dyDescent="0.2">
      <c r="B2" s="197" t="s">
        <v>39</v>
      </c>
      <c r="C2" s="197"/>
      <c r="D2" s="197"/>
      <c r="E2" s="197"/>
      <c r="F2" s="197"/>
      <c r="G2" s="197"/>
      <c r="H2" s="197"/>
      <c r="I2" s="197"/>
      <c r="J2" s="197"/>
      <c r="K2" s="197"/>
      <c r="L2" s="197"/>
      <c r="M2" s="197"/>
      <c r="N2" s="197"/>
      <c r="BH2">
        <v>2022</v>
      </c>
      <c r="BI2" s="107">
        <v>1.08</v>
      </c>
    </row>
    <row r="3" spans="2:62" ht="15.75" customHeight="1" x14ac:dyDescent="0.2">
      <c r="B3" s="11" t="s">
        <v>141</v>
      </c>
      <c r="C3" s="125"/>
      <c r="D3" s="124"/>
      <c r="E3" s="154"/>
      <c r="F3" s="154"/>
      <c r="G3" s="154"/>
      <c r="H3" s="127" t="s">
        <v>63</v>
      </c>
      <c r="I3" s="154"/>
      <c r="J3" s="156"/>
      <c r="K3" s="156"/>
      <c r="L3" s="156"/>
      <c r="M3" s="156"/>
      <c r="N3" s="156"/>
    </row>
    <row r="4" spans="2:62" ht="15.75" customHeight="1" x14ac:dyDescent="0.2">
      <c r="B4" s="123" t="s">
        <v>60</v>
      </c>
      <c r="C4" s="16"/>
      <c r="D4" s="16"/>
      <c r="E4" s="155"/>
      <c r="F4" s="155"/>
      <c r="G4" s="155"/>
      <c r="H4" s="128" t="s">
        <v>250</v>
      </c>
      <c r="I4" s="157"/>
      <c r="J4" s="158"/>
      <c r="K4" s="128" t="s">
        <v>251</v>
      </c>
      <c r="L4" s="157"/>
      <c r="M4" s="158"/>
      <c r="N4" s="158"/>
    </row>
    <row r="5" spans="2:62" ht="7.5" customHeight="1" x14ac:dyDescent="0.2">
      <c r="B5" s="181"/>
      <c r="C5" s="181"/>
      <c r="D5" s="181"/>
      <c r="E5" s="181"/>
      <c r="F5" s="181"/>
      <c r="G5" s="181"/>
      <c r="H5" s="181"/>
      <c r="I5" s="181"/>
      <c r="J5" s="181"/>
      <c r="K5" s="181"/>
      <c r="L5" s="181"/>
      <c r="M5" s="181"/>
      <c r="N5" s="181"/>
    </row>
    <row r="6" spans="2:62" ht="15" x14ac:dyDescent="0.2">
      <c r="B6" s="197" t="s">
        <v>40</v>
      </c>
      <c r="C6" s="197"/>
      <c r="D6" s="197"/>
      <c r="E6" s="197"/>
      <c r="F6" s="197"/>
      <c r="G6" s="197"/>
      <c r="H6" s="197"/>
      <c r="I6" s="197"/>
      <c r="J6" s="197"/>
      <c r="K6" s="197"/>
      <c r="L6" s="197"/>
      <c r="M6" s="197"/>
      <c r="N6" s="197"/>
    </row>
    <row r="7" spans="2:62" ht="15.75" customHeight="1" x14ac:dyDescent="0.2">
      <c r="B7" s="68" t="s">
        <v>65</v>
      </c>
      <c r="C7" s="68"/>
      <c r="D7" s="69"/>
      <c r="E7" s="154"/>
      <c r="F7" s="196"/>
      <c r="G7" s="194" t="s">
        <v>76</v>
      </c>
      <c r="H7" s="194"/>
      <c r="I7" s="70"/>
      <c r="J7" s="71" t="s">
        <v>75</v>
      </c>
      <c r="K7" s="72" t="s">
        <v>41</v>
      </c>
      <c r="L7" s="73"/>
      <c r="M7" s="174" t="str">
        <f>Q9</f>
        <v>Volvo</v>
      </c>
      <c r="N7" s="174"/>
      <c r="P7" s="2" t="s">
        <v>79</v>
      </c>
      <c r="Q7" s="6"/>
      <c r="S7" s="2" t="s">
        <v>78</v>
      </c>
      <c r="T7" s="2" t="s">
        <v>77</v>
      </c>
      <c r="U7" s="2" t="s">
        <v>151</v>
      </c>
      <c r="V7" s="2" t="s">
        <v>156</v>
      </c>
      <c r="W7" s="2" t="s">
        <v>99</v>
      </c>
      <c r="X7" s="2" t="s">
        <v>221</v>
      </c>
      <c r="Z7" s="2" t="s">
        <v>222</v>
      </c>
    </row>
    <row r="8" spans="2:62" ht="15.75" customHeight="1" x14ac:dyDescent="0.2">
      <c r="B8" s="10" t="s">
        <v>66</v>
      </c>
      <c r="C8" s="10"/>
      <c r="D8" s="17"/>
      <c r="E8" s="157"/>
      <c r="F8" s="193"/>
      <c r="G8" s="195" t="s">
        <v>42</v>
      </c>
      <c r="H8" s="195"/>
      <c r="I8" s="9"/>
      <c r="J8" s="18" t="s">
        <v>75</v>
      </c>
      <c r="K8" s="17" t="s">
        <v>46</v>
      </c>
      <c r="L8" s="19"/>
      <c r="M8" s="175"/>
      <c r="N8" s="176"/>
      <c r="P8" s="1" t="s">
        <v>78</v>
      </c>
      <c r="Q8" s="5">
        <v>2</v>
      </c>
      <c r="R8" s="1">
        <v>1</v>
      </c>
      <c r="S8" s="3" t="s">
        <v>47</v>
      </c>
      <c r="T8" s="3" t="s">
        <v>73</v>
      </c>
      <c r="U8" s="3" t="s">
        <v>152</v>
      </c>
      <c r="V8" s="1" t="s">
        <v>157</v>
      </c>
      <c r="W8" s="6">
        <v>4</v>
      </c>
      <c r="X8" s="1">
        <v>19</v>
      </c>
      <c r="Y8" s="102">
        <v>655</v>
      </c>
      <c r="Z8" s="1">
        <f>Y8/X8</f>
        <v>34.473684210526315</v>
      </c>
    </row>
    <row r="9" spans="2:62" ht="15.75" customHeight="1" x14ac:dyDescent="0.2">
      <c r="B9" s="10" t="s">
        <v>67</v>
      </c>
      <c r="C9" s="10"/>
      <c r="D9" s="17"/>
      <c r="E9" s="157"/>
      <c r="F9" s="193"/>
      <c r="G9" s="173" t="s">
        <v>150</v>
      </c>
      <c r="H9" s="173"/>
      <c r="I9" s="16" t="str">
        <f>Q17</f>
        <v>Customer Drop-off</v>
      </c>
      <c r="J9" s="20"/>
      <c r="K9" s="17" t="s">
        <v>176</v>
      </c>
      <c r="L9" s="19"/>
      <c r="M9" s="157"/>
      <c r="N9" s="157"/>
      <c r="Q9" s="1" t="str">
        <f>IF($Q$8=1,S8,IF($Q$8=2,S9,IF($Q$8=3,S10,IF($Q$8=4,S11,IF($Q$8=5,S12,IF($Q$8=6,S13,IF($Q$8=7,S14,IF($Q$8=8,S15,""))))))))</f>
        <v>Volvo</v>
      </c>
      <c r="R9" s="1">
        <v>2</v>
      </c>
      <c r="S9" s="3" t="s">
        <v>44</v>
      </c>
      <c r="T9" s="3" t="s">
        <v>74</v>
      </c>
      <c r="U9" s="3" t="s">
        <v>153</v>
      </c>
      <c r="V9" s="1" t="s">
        <v>158</v>
      </c>
      <c r="W9" s="6">
        <v>6</v>
      </c>
      <c r="X9" s="1">
        <v>20</v>
      </c>
      <c r="Y9" s="102">
        <v>725</v>
      </c>
      <c r="Z9" s="1">
        <f t="shared" ref="Z9:Z12" si="0">Y9/X9</f>
        <v>36.25</v>
      </c>
    </row>
    <row r="10" spans="2:62" ht="15.75" customHeight="1" x14ac:dyDescent="0.2">
      <c r="B10" s="10" t="s">
        <v>68</v>
      </c>
      <c r="C10" s="10"/>
      <c r="D10" s="17"/>
      <c r="E10" s="157"/>
      <c r="F10" s="193"/>
      <c r="G10" s="17" t="s">
        <v>155</v>
      </c>
      <c r="H10" s="19"/>
      <c r="I10" s="177" t="str">
        <f>Q14</f>
        <v>n/a</v>
      </c>
      <c r="J10" s="177"/>
      <c r="K10" s="12" t="s">
        <v>70</v>
      </c>
      <c r="L10" s="19"/>
      <c r="M10" s="177" t="str">
        <f>Q11</f>
        <v>Volvo DP</v>
      </c>
      <c r="N10" s="177"/>
      <c r="P10" s="1" t="s">
        <v>77</v>
      </c>
      <c r="Q10" s="45">
        <v>7</v>
      </c>
      <c r="R10" s="1">
        <v>3</v>
      </c>
      <c r="S10" s="3" t="s">
        <v>48</v>
      </c>
      <c r="T10" s="3" t="s">
        <v>72</v>
      </c>
      <c r="U10" s="3"/>
      <c r="V10" s="1" t="s">
        <v>159</v>
      </c>
      <c r="W10" s="6">
        <v>8</v>
      </c>
      <c r="X10" s="1">
        <v>21</v>
      </c>
      <c r="Y10" s="102">
        <v>740</v>
      </c>
      <c r="Z10" s="1">
        <f t="shared" si="0"/>
        <v>35.238095238095241</v>
      </c>
    </row>
    <row r="11" spans="2:62" ht="15.75" customHeight="1" x14ac:dyDescent="0.2">
      <c r="B11" s="10" t="s">
        <v>69</v>
      </c>
      <c r="C11" s="10"/>
      <c r="D11" s="17"/>
      <c r="E11" s="157"/>
      <c r="F11" s="193"/>
      <c r="G11" s="17" t="s">
        <v>185</v>
      </c>
      <c r="H11" s="74"/>
      <c r="I11" s="53"/>
      <c r="J11" s="96" t="s">
        <v>154</v>
      </c>
      <c r="K11" s="17" t="s">
        <v>113</v>
      </c>
      <c r="L11" s="21"/>
      <c r="M11" s="178">
        <v>8</v>
      </c>
      <c r="N11" s="178"/>
      <c r="Q11" s="4" t="str">
        <f>IF($Q$10=1,T8,IF($Q$10=2,T9,IF($Q$10=3,T10,IF($Q$10=4,T11,IF($Q$10=5,T12,IF($Q$10=6,T13,IF($Q$10=7,T14,IF($Q$10=8,T15,""))))))))</f>
        <v>Volvo DP</v>
      </c>
      <c r="R11" s="1">
        <v>4</v>
      </c>
      <c r="S11" s="3" t="s">
        <v>71</v>
      </c>
      <c r="T11" s="3" t="s">
        <v>101</v>
      </c>
      <c r="U11" s="3"/>
      <c r="V11" s="1" t="s">
        <v>160</v>
      </c>
      <c r="W11" s="6" t="s">
        <v>71</v>
      </c>
      <c r="X11" s="1">
        <v>22</v>
      </c>
      <c r="Y11" s="102">
        <v>760</v>
      </c>
      <c r="Z11" s="1">
        <f t="shared" si="0"/>
        <v>34.545454545454547</v>
      </c>
    </row>
    <row r="12" spans="2:62" ht="15.75" customHeight="1" x14ac:dyDescent="0.2">
      <c r="B12" s="10" t="s">
        <v>115</v>
      </c>
      <c r="C12" s="10"/>
      <c r="D12" s="17"/>
      <c r="E12" s="157"/>
      <c r="F12" s="193"/>
      <c r="G12" s="173" t="s">
        <v>186</v>
      </c>
      <c r="H12" s="173"/>
      <c r="I12" s="53"/>
      <c r="J12" s="79" t="s">
        <v>154</v>
      </c>
      <c r="K12" s="179"/>
      <c r="L12" s="180"/>
      <c r="M12" s="180"/>
      <c r="N12" s="180"/>
      <c r="P12" s="1" t="s">
        <v>163</v>
      </c>
      <c r="Q12" s="5">
        <v>7</v>
      </c>
      <c r="R12" s="1">
        <v>5</v>
      </c>
      <c r="S12" s="3"/>
      <c r="T12" s="3" t="s">
        <v>102</v>
      </c>
      <c r="U12" s="3"/>
      <c r="V12" s="1" t="s">
        <v>161</v>
      </c>
      <c r="X12" s="1">
        <v>23</v>
      </c>
      <c r="Y12" s="102">
        <v>795</v>
      </c>
      <c r="Z12" s="1">
        <f t="shared" si="0"/>
        <v>34.565217391304351</v>
      </c>
    </row>
    <row r="13" spans="2:62" ht="15.75" customHeight="1" x14ac:dyDescent="0.2">
      <c r="B13" s="140" t="s">
        <v>272</v>
      </c>
      <c r="C13" s="140"/>
      <c r="D13" s="141"/>
      <c r="E13" s="157"/>
      <c r="F13" s="157"/>
      <c r="G13" s="173" t="s">
        <v>273</v>
      </c>
      <c r="H13" s="173"/>
      <c r="I13" s="157"/>
      <c r="J13" s="157"/>
      <c r="K13" s="184" t="s">
        <v>315</v>
      </c>
      <c r="L13" s="184"/>
      <c r="M13" s="157"/>
      <c r="N13" s="157"/>
      <c r="Q13" s="5"/>
      <c r="R13" s="1">
        <v>6</v>
      </c>
      <c r="S13" s="3"/>
      <c r="T13" s="3" t="s">
        <v>103</v>
      </c>
      <c r="U13" s="3"/>
      <c r="V13" s="1" t="s">
        <v>162</v>
      </c>
      <c r="X13" s="1">
        <v>24</v>
      </c>
      <c r="Y13" s="102">
        <v>865</v>
      </c>
      <c r="Z13" s="1">
        <f>Y13/X13</f>
        <v>36.041666666666664</v>
      </c>
    </row>
    <row r="14" spans="2:62" ht="25.5" customHeight="1" x14ac:dyDescent="0.2">
      <c r="B14" s="161" t="s">
        <v>309</v>
      </c>
      <c r="C14" s="161"/>
      <c r="D14" s="161"/>
      <c r="E14" s="161"/>
      <c r="F14" s="161"/>
      <c r="G14" s="161"/>
      <c r="H14" s="161"/>
      <c r="I14" s="161"/>
      <c r="J14" s="161"/>
      <c r="K14" s="161"/>
      <c r="L14" s="161"/>
      <c r="M14" s="161"/>
      <c r="N14" s="161"/>
      <c r="Q14" s="4" t="str">
        <f>IF($Q$12=1,V8,IF($Q$12=2,V9,IF($Q$12=3,V10,IF($Q$12=4,V11,IF($Q$12=5,V12,IF($Q$12=6,V13,IF($Q$12=7,V14,"")))))))</f>
        <v>n/a</v>
      </c>
      <c r="R14" s="1">
        <v>7</v>
      </c>
      <c r="S14" s="3"/>
      <c r="T14" s="3" t="s">
        <v>104</v>
      </c>
      <c r="U14" s="3"/>
      <c r="V14" s="1" t="s">
        <v>129</v>
      </c>
      <c r="X14" s="1">
        <v>25</v>
      </c>
      <c r="Y14" s="102">
        <v>900</v>
      </c>
      <c r="Z14" s="1">
        <f>Y14/X14</f>
        <v>36</v>
      </c>
    </row>
    <row r="15" spans="2:62" ht="4.5" customHeight="1" x14ac:dyDescent="0.2">
      <c r="B15" s="162"/>
      <c r="C15" s="162"/>
      <c r="D15" s="162"/>
      <c r="E15" s="162"/>
      <c r="F15" s="162"/>
      <c r="G15" s="162"/>
      <c r="H15" s="162"/>
      <c r="I15" s="162"/>
      <c r="J15" s="162"/>
      <c r="K15" s="162"/>
      <c r="L15" s="162"/>
      <c r="M15" s="162"/>
      <c r="N15" s="162"/>
      <c r="Q15" s="4"/>
      <c r="R15" s="1">
        <v>8</v>
      </c>
      <c r="S15" s="3"/>
      <c r="T15" s="1" t="s">
        <v>307</v>
      </c>
      <c r="U15" s="3"/>
      <c r="X15" s="1">
        <v>26</v>
      </c>
      <c r="Y15" s="101">
        <v>935</v>
      </c>
      <c r="Z15" s="1">
        <f>Y15/X15</f>
        <v>35.96153846153846</v>
      </c>
    </row>
    <row r="16" spans="2:62" ht="13.5" customHeight="1" x14ac:dyDescent="0.2">
      <c r="B16" s="182" t="s">
        <v>206</v>
      </c>
      <c r="C16" s="182"/>
      <c r="D16" s="182"/>
      <c r="E16" s="182"/>
      <c r="F16" s="182"/>
      <c r="G16" s="182"/>
      <c r="H16" s="182"/>
      <c r="I16" s="182"/>
      <c r="J16" s="182"/>
      <c r="K16" s="182"/>
      <c r="L16" s="182"/>
      <c r="M16" s="182"/>
      <c r="N16" s="182"/>
      <c r="P16" s="1" t="s">
        <v>151</v>
      </c>
      <c r="Q16" s="45">
        <v>2</v>
      </c>
      <c r="R16" s="1">
        <v>9</v>
      </c>
      <c r="T16" s="1" t="s">
        <v>116</v>
      </c>
      <c r="U16" s="3"/>
      <c r="X16" s="1">
        <v>27</v>
      </c>
      <c r="Y16" s="102">
        <v>965</v>
      </c>
      <c r="Z16" s="1">
        <f>Y16/X16</f>
        <v>35.74074074074074</v>
      </c>
      <c r="BJ16" s="135" t="s">
        <v>264</v>
      </c>
    </row>
    <row r="17" spans="2:62" ht="5.0999999999999996" customHeight="1" x14ac:dyDescent="0.2">
      <c r="B17" s="181"/>
      <c r="C17" s="181"/>
      <c r="D17" s="181"/>
      <c r="E17" s="181"/>
      <c r="F17" s="181"/>
      <c r="G17" s="181"/>
      <c r="H17" s="181"/>
      <c r="I17" s="181"/>
      <c r="J17" s="181"/>
      <c r="K17" s="181"/>
      <c r="L17" s="181"/>
      <c r="M17" s="181"/>
      <c r="N17" s="181"/>
      <c r="Q17" s="1" t="str">
        <f>IF($Q$16=1,U8,IF($Q$16=2,U9,""))</f>
        <v>Customer Drop-off</v>
      </c>
      <c r="U17" s="3"/>
    </row>
    <row r="18" spans="2:62" x14ac:dyDescent="0.2">
      <c r="B18" s="112" t="s">
        <v>240</v>
      </c>
      <c r="C18" s="112"/>
      <c r="D18" s="113"/>
      <c r="E18" s="113"/>
      <c r="F18" s="114"/>
      <c r="G18" s="24" t="s">
        <v>50</v>
      </c>
      <c r="H18" s="24" t="s">
        <v>43</v>
      </c>
      <c r="I18" s="24" t="s">
        <v>227</v>
      </c>
      <c r="J18" s="23"/>
      <c r="K18" s="23"/>
      <c r="L18" s="23"/>
      <c r="M18" s="25" t="s">
        <v>143</v>
      </c>
      <c r="N18" s="26">
        <f>SUM(I19:I28)</f>
        <v>0</v>
      </c>
      <c r="P18" s="1" t="s">
        <v>99</v>
      </c>
      <c r="Q18" s="15">
        <v>3</v>
      </c>
      <c r="U18" s="3"/>
    </row>
    <row r="19" spans="2:62" ht="13.7" customHeight="1" x14ac:dyDescent="0.2">
      <c r="B19" s="109"/>
      <c r="C19" s="110" t="b">
        <v>0</v>
      </c>
      <c r="D19" s="109" t="s">
        <v>2</v>
      </c>
      <c r="E19" s="109"/>
      <c r="F19" s="111" t="s">
        <v>147</v>
      </c>
      <c r="G19" s="60">
        <f>IF(AND($I$7&gt;0,$I$7&lt;20),1,0)</f>
        <v>0</v>
      </c>
      <c r="H19" s="61">
        <v>1225</v>
      </c>
      <c r="I19" s="62">
        <f t="shared" ref="I19:I27" si="1">G19*H19</f>
        <v>0</v>
      </c>
      <c r="J19" s="163" t="s">
        <v>244</v>
      </c>
      <c r="K19" s="163"/>
      <c r="L19" s="163"/>
      <c r="M19" s="163"/>
      <c r="N19" s="163"/>
      <c r="Q19" s="6">
        <f>IF($Q$18=1,W8,IF($Q$18=2,W9,IF($Q$18=3,W10,IF($Q$18=2,W11,""))))</f>
        <v>8</v>
      </c>
      <c r="S19" s="3"/>
      <c r="T19" s="3"/>
      <c r="U19" s="3"/>
      <c r="BI19" s="107">
        <f t="shared" ref="BI19:BI27" si="2">H19*$BI$2</f>
        <v>1323</v>
      </c>
      <c r="BJ19" s="134">
        <f>CEILING(BI19, 5)</f>
        <v>1325</v>
      </c>
    </row>
    <row r="20" spans="2:62" x14ac:dyDescent="0.2">
      <c r="B20" s="19"/>
      <c r="C20" s="14" t="b">
        <v>0</v>
      </c>
      <c r="D20" s="19" t="s">
        <v>2</v>
      </c>
      <c r="E20" s="19"/>
      <c r="F20" s="29" t="s">
        <v>215</v>
      </c>
      <c r="G20" s="28">
        <f>IF(AND($I$7&gt;19,$I$7&lt;21),1,0)</f>
        <v>0</v>
      </c>
      <c r="H20" s="30">
        <v>1350</v>
      </c>
      <c r="I20" s="31">
        <f t="shared" si="1"/>
        <v>0</v>
      </c>
      <c r="J20" s="164"/>
      <c r="K20" s="164"/>
      <c r="L20" s="164"/>
      <c r="M20" s="164"/>
      <c r="N20" s="164"/>
      <c r="BI20" s="107">
        <f t="shared" si="2"/>
        <v>1458</v>
      </c>
      <c r="BJ20" s="134">
        <f t="shared" ref="BJ20:BJ27" si="3">CEILING(BI20, 5)</f>
        <v>1460</v>
      </c>
    </row>
    <row r="21" spans="2:62" x14ac:dyDescent="0.2">
      <c r="B21" s="19"/>
      <c r="C21" s="14" t="b">
        <v>0</v>
      </c>
      <c r="D21" s="19" t="s">
        <v>2</v>
      </c>
      <c r="E21" s="19"/>
      <c r="F21" s="29" t="s">
        <v>216</v>
      </c>
      <c r="G21" s="28">
        <f>IF(AND($I$7&gt;20,$I$7&lt;22),1,0)</f>
        <v>0</v>
      </c>
      <c r="H21" s="30">
        <v>1430</v>
      </c>
      <c r="I21" s="31">
        <f t="shared" si="1"/>
        <v>0</v>
      </c>
      <c r="J21" s="164"/>
      <c r="K21" s="164"/>
      <c r="L21" s="164"/>
      <c r="M21" s="164"/>
      <c r="N21" s="164"/>
      <c r="BI21" s="107">
        <f t="shared" si="2"/>
        <v>1544.4</v>
      </c>
      <c r="BJ21" s="134">
        <f t="shared" si="3"/>
        <v>1545</v>
      </c>
    </row>
    <row r="22" spans="2:62" x14ac:dyDescent="0.2">
      <c r="B22" s="19"/>
      <c r="C22" s="14" t="b">
        <v>0</v>
      </c>
      <c r="D22" s="19" t="s">
        <v>2</v>
      </c>
      <c r="E22" s="19"/>
      <c r="F22" s="29" t="s">
        <v>148</v>
      </c>
      <c r="G22" s="28">
        <f>IF(AND($I$7&gt;21,$I$7&lt;23),1,0)</f>
        <v>0</v>
      </c>
      <c r="H22" s="30">
        <v>1510</v>
      </c>
      <c r="I22" s="31">
        <f t="shared" si="1"/>
        <v>0</v>
      </c>
      <c r="J22" s="164"/>
      <c r="K22" s="164"/>
      <c r="L22" s="164"/>
      <c r="M22" s="164"/>
      <c r="N22" s="164"/>
      <c r="S22" s="102"/>
      <c r="BI22" s="107">
        <f t="shared" si="2"/>
        <v>1630.8000000000002</v>
      </c>
      <c r="BJ22" s="134">
        <f t="shared" si="3"/>
        <v>1635</v>
      </c>
    </row>
    <row r="23" spans="2:62" x14ac:dyDescent="0.2">
      <c r="B23" s="19"/>
      <c r="C23" s="14" t="b">
        <v>0</v>
      </c>
      <c r="D23" s="19" t="s">
        <v>2</v>
      </c>
      <c r="E23" s="19"/>
      <c r="F23" s="29" t="s">
        <v>149</v>
      </c>
      <c r="G23" s="28">
        <f>IF(AND($I$7&gt;22,$I$7&lt;24),1,0)</f>
        <v>0</v>
      </c>
      <c r="H23" s="30">
        <v>1665</v>
      </c>
      <c r="I23" s="31">
        <f t="shared" si="1"/>
        <v>0</v>
      </c>
      <c r="J23" s="164"/>
      <c r="K23" s="164"/>
      <c r="L23" s="164"/>
      <c r="M23" s="164"/>
      <c r="N23" s="164"/>
      <c r="S23" s="102"/>
      <c r="BI23" s="107">
        <f t="shared" si="2"/>
        <v>1798.2</v>
      </c>
      <c r="BJ23" s="134">
        <f t="shared" si="3"/>
        <v>1800</v>
      </c>
    </row>
    <row r="24" spans="2:62" x14ac:dyDescent="0.2">
      <c r="B24" s="19"/>
      <c r="C24" s="14" t="b">
        <v>0</v>
      </c>
      <c r="D24" s="19" t="s">
        <v>2</v>
      </c>
      <c r="E24" s="19"/>
      <c r="F24" s="29" t="s">
        <v>217</v>
      </c>
      <c r="G24" s="28">
        <f>IF(AND($I$7&gt;23,$I$7&lt;25),1,0)</f>
        <v>0</v>
      </c>
      <c r="H24" s="30">
        <v>1815</v>
      </c>
      <c r="I24" s="31">
        <f t="shared" si="1"/>
        <v>0</v>
      </c>
      <c r="J24" s="164"/>
      <c r="K24" s="164"/>
      <c r="L24" s="164"/>
      <c r="M24" s="164"/>
      <c r="N24" s="164"/>
      <c r="S24" s="102"/>
      <c r="BI24" s="107">
        <f t="shared" si="2"/>
        <v>1960.2</v>
      </c>
      <c r="BJ24" s="134">
        <f t="shared" si="3"/>
        <v>1965</v>
      </c>
    </row>
    <row r="25" spans="2:62" x14ac:dyDescent="0.2">
      <c r="B25" s="19"/>
      <c r="C25" s="14" t="b">
        <v>0</v>
      </c>
      <c r="D25" s="19" t="s">
        <v>2</v>
      </c>
      <c r="E25" s="19"/>
      <c r="F25" s="29" t="s">
        <v>218</v>
      </c>
      <c r="G25" s="28">
        <f>IF(AND($I$7&gt;24,$I$7&lt;26),1,0)</f>
        <v>0</v>
      </c>
      <c r="H25" s="30">
        <v>1910</v>
      </c>
      <c r="I25" s="31">
        <f t="shared" si="1"/>
        <v>0</v>
      </c>
      <c r="J25" s="164"/>
      <c r="K25" s="164"/>
      <c r="L25" s="164"/>
      <c r="M25" s="164"/>
      <c r="N25" s="164"/>
      <c r="S25" s="102"/>
      <c r="BI25" s="107">
        <f t="shared" si="2"/>
        <v>2062.8000000000002</v>
      </c>
      <c r="BJ25" s="134">
        <f t="shared" si="3"/>
        <v>2065</v>
      </c>
    </row>
    <row r="26" spans="2:62" x14ac:dyDescent="0.2">
      <c r="B26" s="19"/>
      <c r="C26" s="14" t="b">
        <v>0</v>
      </c>
      <c r="D26" s="86" t="s">
        <v>2</v>
      </c>
      <c r="E26" s="19"/>
      <c r="F26" s="106" t="s">
        <v>219</v>
      </c>
      <c r="G26" s="28">
        <f>IF(AND($I$7&gt;25,$I$7&lt;27),1,0)</f>
        <v>0</v>
      </c>
      <c r="H26" s="30">
        <v>2035</v>
      </c>
      <c r="I26" s="31">
        <f t="shared" si="1"/>
        <v>0</v>
      </c>
      <c r="J26" s="164"/>
      <c r="K26" s="164"/>
      <c r="L26" s="164"/>
      <c r="M26" s="164"/>
      <c r="N26" s="164"/>
      <c r="S26" s="102"/>
      <c r="BI26" s="107">
        <f t="shared" si="2"/>
        <v>2197.8000000000002</v>
      </c>
      <c r="BJ26" s="134">
        <f t="shared" si="3"/>
        <v>2200</v>
      </c>
    </row>
    <row r="27" spans="2:62" x14ac:dyDescent="0.2">
      <c r="B27" s="19"/>
      <c r="C27" s="14" t="b">
        <v>0</v>
      </c>
      <c r="D27" s="86" t="s">
        <v>2</v>
      </c>
      <c r="E27" s="19"/>
      <c r="F27" s="106" t="s">
        <v>220</v>
      </c>
      <c r="G27" s="28">
        <f>IF(AND($I$7&gt;26,$I$7&lt;28),1,0)</f>
        <v>0</v>
      </c>
      <c r="H27" s="30">
        <v>2145</v>
      </c>
      <c r="I27" s="31">
        <f t="shared" si="1"/>
        <v>0</v>
      </c>
      <c r="J27" s="164"/>
      <c r="K27" s="164"/>
      <c r="L27" s="164"/>
      <c r="M27" s="164"/>
      <c r="N27" s="164"/>
      <c r="S27" s="102"/>
      <c r="BI27" s="107">
        <f t="shared" si="2"/>
        <v>2316.6000000000004</v>
      </c>
      <c r="BJ27" s="134">
        <f t="shared" si="3"/>
        <v>2320</v>
      </c>
    </row>
    <row r="28" spans="2:62" x14ac:dyDescent="0.2">
      <c r="B28" s="19"/>
      <c r="C28" s="14" t="b">
        <v>0</v>
      </c>
      <c r="D28" s="177" t="s">
        <v>223</v>
      </c>
      <c r="E28" s="177"/>
      <c r="F28" s="105" t="str">
        <f>IF(AND(C28=TRUE),$I$7,"-")</f>
        <v>-</v>
      </c>
      <c r="G28" s="28">
        <f>IF(AND(C28=TRUE),1,0)</f>
        <v>0</v>
      </c>
      <c r="H28" s="137" t="s">
        <v>269</v>
      </c>
      <c r="I28" s="31">
        <f>IF(AND(C28=TRUE),(F28*G28*35),0)</f>
        <v>0</v>
      </c>
      <c r="J28" s="164"/>
      <c r="K28" s="164"/>
      <c r="L28" s="164"/>
      <c r="M28" s="164"/>
      <c r="N28" s="164"/>
      <c r="S28" s="102"/>
      <c r="BJ28" s="136" t="s">
        <v>265</v>
      </c>
    </row>
    <row r="29" spans="2:62" ht="5.0999999999999996" customHeight="1" x14ac:dyDescent="0.2">
      <c r="C29" s="99"/>
      <c r="D29" s="4"/>
      <c r="E29" s="4"/>
      <c r="F29" s="104"/>
      <c r="G29" s="99"/>
      <c r="H29" s="103"/>
      <c r="I29" s="100"/>
      <c r="J29" s="164"/>
      <c r="K29" s="164"/>
      <c r="L29" s="164"/>
      <c r="M29" s="164"/>
      <c r="N29" s="164"/>
      <c r="S29" s="102"/>
    </row>
    <row r="30" spans="2:62" ht="21.75" customHeight="1" x14ac:dyDescent="0.2">
      <c r="B30" s="165" t="s">
        <v>311</v>
      </c>
      <c r="C30" s="183"/>
      <c r="D30" s="183"/>
      <c r="E30" s="183"/>
      <c r="F30" s="183"/>
      <c r="G30" s="183"/>
      <c r="H30" s="183"/>
      <c r="I30" s="183"/>
      <c r="J30" s="183"/>
      <c r="K30" s="183"/>
      <c r="L30" s="183"/>
      <c r="M30" s="183"/>
      <c r="N30" s="183"/>
      <c r="S30" s="102"/>
    </row>
    <row r="31" spans="2:62" ht="5.0999999999999996" customHeight="1" x14ac:dyDescent="0.2">
      <c r="B31" s="181"/>
      <c r="C31" s="181"/>
      <c r="D31" s="181"/>
      <c r="E31" s="181"/>
      <c r="F31" s="181"/>
      <c r="G31" s="181"/>
      <c r="H31" s="181"/>
      <c r="I31" s="181"/>
      <c r="J31" s="181"/>
      <c r="K31" s="181"/>
      <c r="L31" s="181"/>
      <c r="M31" s="181"/>
      <c r="N31" s="181"/>
      <c r="S31" s="102"/>
    </row>
    <row r="32" spans="2:62" x14ac:dyDescent="0.2">
      <c r="B32" s="112" t="s">
        <v>241</v>
      </c>
      <c r="C32" s="112"/>
      <c r="D32" s="113"/>
      <c r="E32" s="113"/>
      <c r="F32" s="112"/>
      <c r="G32" s="24" t="s">
        <v>50</v>
      </c>
      <c r="H32" s="24" t="s">
        <v>43</v>
      </c>
      <c r="I32" s="24" t="s">
        <v>227</v>
      </c>
      <c r="J32" s="23"/>
      <c r="K32" s="32"/>
      <c r="L32" s="32"/>
      <c r="M32" s="25" t="s">
        <v>143</v>
      </c>
      <c r="N32" s="26">
        <f>SUM(I33:I35)</f>
        <v>0</v>
      </c>
      <c r="S32" s="102"/>
    </row>
    <row r="33" spans="2:62" ht="13.7" customHeight="1" x14ac:dyDescent="0.2">
      <c r="B33" s="109"/>
      <c r="C33" s="115" t="b">
        <v>0</v>
      </c>
      <c r="D33" s="109" t="s">
        <v>80</v>
      </c>
      <c r="E33" s="109"/>
      <c r="F33" s="109"/>
      <c r="G33" s="60">
        <f>IF(AND($I$7&gt;0, $I$7&lt;61,C33=TRUE),$I$7,0)</f>
        <v>0</v>
      </c>
      <c r="H33" s="42">
        <v>7.5</v>
      </c>
      <c r="I33" s="42">
        <f>G33*H33</f>
        <v>0</v>
      </c>
      <c r="J33" s="163" t="s">
        <v>237</v>
      </c>
      <c r="K33" s="163"/>
      <c r="L33" s="163"/>
      <c r="M33" s="163"/>
      <c r="N33" s="163"/>
      <c r="BI33" s="107">
        <f>H33*$BI$2</f>
        <v>8.1000000000000014</v>
      </c>
      <c r="BJ33" s="134">
        <v>7</v>
      </c>
    </row>
    <row r="34" spans="2:62" ht="12.75" customHeight="1" x14ac:dyDescent="0.2">
      <c r="B34" s="19"/>
      <c r="C34" s="13" t="b">
        <v>0</v>
      </c>
      <c r="D34" s="19" t="s">
        <v>59</v>
      </c>
      <c r="E34" s="19"/>
      <c r="F34" s="19"/>
      <c r="G34" s="28">
        <f>IF(AND($I$7&gt;0, $I$7&lt;61,C34=TRUE),$I$7,0)</f>
        <v>0</v>
      </c>
      <c r="H34" s="34">
        <v>14</v>
      </c>
      <c r="I34" s="34">
        <f>G34*H34</f>
        <v>0</v>
      </c>
      <c r="J34" s="164"/>
      <c r="K34" s="164"/>
      <c r="L34" s="164"/>
      <c r="M34" s="164"/>
      <c r="N34" s="164"/>
      <c r="BI34" s="107">
        <f>H34*$BI$2</f>
        <v>15.120000000000001</v>
      </c>
      <c r="BJ34" s="134">
        <v>13</v>
      </c>
    </row>
    <row r="35" spans="2:62" ht="12.75" customHeight="1" x14ac:dyDescent="0.2">
      <c r="B35" s="19"/>
      <c r="C35" s="13" t="b">
        <v>0</v>
      </c>
      <c r="D35" s="19" t="s">
        <v>228</v>
      </c>
      <c r="E35" s="19"/>
      <c r="F35" s="19"/>
      <c r="G35" s="28">
        <f>IF(AND(G33&lt;1,G34&lt;1,$I$7&gt;0, $I$7&lt;61,C35=TRUE),$I$7,0)</f>
        <v>0</v>
      </c>
      <c r="H35" s="34">
        <v>0</v>
      </c>
      <c r="I35" s="34">
        <f>G35*H35</f>
        <v>0</v>
      </c>
      <c r="J35" s="164"/>
      <c r="K35" s="164"/>
      <c r="L35" s="164"/>
      <c r="M35" s="164"/>
      <c r="N35" s="164"/>
    </row>
    <row r="36" spans="2:62" ht="5.0999999999999996" customHeight="1" x14ac:dyDescent="0.2"/>
    <row r="37" spans="2:62" x14ac:dyDescent="0.2">
      <c r="B37" s="112" t="s">
        <v>242</v>
      </c>
      <c r="C37" s="112"/>
      <c r="D37" s="112"/>
      <c r="E37" s="112"/>
      <c r="F37" s="112"/>
      <c r="G37" s="24" t="s">
        <v>50</v>
      </c>
      <c r="H37" s="24" t="s">
        <v>43</v>
      </c>
      <c r="I37" s="24" t="s">
        <v>227</v>
      </c>
      <c r="J37" s="22"/>
      <c r="K37" s="32"/>
      <c r="L37" s="32"/>
      <c r="M37" s="25" t="s">
        <v>143</v>
      </c>
      <c r="N37" s="35">
        <f>SUM(I38:I43)</f>
        <v>0</v>
      </c>
    </row>
    <row r="38" spans="2:62" ht="13.7" customHeight="1" x14ac:dyDescent="0.2">
      <c r="B38" s="109"/>
      <c r="C38" s="115" t="b">
        <v>0</v>
      </c>
      <c r="D38" s="109" t="s">
        <v>164</v>
      </c>
      <c r="E38" s="109"/>
      <c r="F38" s="111" t="s">
        <v>167</v>
      </c>
      <c r="G38" s="63">
        <f>IF(AND($I$7&lt;25,$Q$16=1,$Q$12=1),1,0)</f>
        <v>0</v>
      </c>
      <c r="H38" s="64" t="s">
        <v>195</v>
      </c>
      <c r="I38" s="64">
        <f>IF(G38=1,"No Charge",0)</f>
        <v>0</v>
      </c>
      <c r="J38" s="163" t="s">
        <v>253</v>
      </c>
      <c r="K38" s="163"/>
      <c r="L38" s="163"/>
      <c r="M38" s="163"/>
      <c r="N38" s="163"/>
    </row>
    <row r="39" spans="2:62" x14ac:dyDescent="0.2">
      <c r="B39" s="19"/>
      <c r="C39" s="13" t="b">
        <v>0</v>
      </c>
      <c r="D39" s="19" t="s">
        <v>165</v>
      </c>
      <c r="E39" s="19"/>
      <c r="F39" s="29" t="s">
        <v>168</v>
      </c>
      <c r="G39" s="36">
        <f>IF(AND($I$7&lt;25,$Q$16=1,$Q$12=2),1,0)</f>
        <v>0</v>
      </c>
      <c r="H39" s="34">
        <v>175</v>
      </c>
      <c r="I39" s="34">
        <f>G39*H39</f>
        <v>0</v>
      </c>
      <c r="J39" s="164"/>
      <c r="K39" s="164"/>
      <c r="L39" s="164"/>
      <c r="M39" s="164"/>
      <c r="N39" s="164"/>
      <c r="BI39" s="107">
        <f>H39*$BI$2</f>
        <v>189</v>
      </c>
      <c r="BJ39" s="134">
        <v>150</v>
      </c>
    </row>
    <row r="40" spans="2:62" x14ac:dyDescent="0.2">
      <c r="B40" s="19"/>
      <c r="C40" s="13" t="b">
        <v>0</v>
      </c>
      <c r="D40" s="19" t="s">
        <v>166</v>
      </c>
      <c r="E40" s="19"/>
      <c r="F40" s="29" t="s">
        <v>169</v>
      </c>
      <c r="G40" s="36">
        <f>IF(AND($I$7&lt;25,$Q$16=1,$Q$12=3),1,0)</f>
        <v>0</v>
      </c>
      <c r="H40" s="34">
        <v>230</v>
      </c>
      <c r="I40" s="34">
        <f>G40*H40</f>
        <v>0</v>
      </c>
      <c r="J40" s="164"/>
      <c r="K40" s="164"/>
      <c r="L40" s="164"/>
      <c r="M40" s="164"/>
      <c r="N40" s="164"/>
      <c r="BI40" s="107">
        <f>H40*$BI$2</f>
        <v>248.4</v>
      </c>
      <c r="BJ40" s="134">
        <v>200</v>
      </c>
    </row>
    <row r="41" spans="2:62" ht="12.75" customHeight="1" x14ac:dyDescent="0.2">
      <c r="B41" s="19"/>
      <c r="C41" s="13" t="b">
        <v>0</v>
      </c>
      <c r="D41" s="19" t="s">
        <v>172</v>
      </c>
      <c r="E41" s="19"/>
      <c r="F41" s="29" t="s">
        <v>170</v>
      </c>
      <c r="G41" s="36">
        <f>IF(AND($I$7&lt;25,$Q$16=1,$Q$12=4),1,0)</f>
        <v>0</v>
      </c>
      <c r="H41" s="34">
        <v>290</v>
      </c>
      <c r="I41" s="34">
        <f>G41*H41</f>
        <v>0</v>
      </c>
      <c r="J41" s="164"/>
      <c r="K41" s="164"/>
      <c r="L41" s="164"/>
      <c r="M41" s="164"/>
      <c r="N41" s="164"/>
      <c r="BI41" s="107">
        <f>H41*$BI$2</f>
        <v>313.20000000000005</v>
      </c>
      <c r="BJ41" s="134">
        <v>250</v>
      </c>
    </row>
    <row r="42" spans="2:62" x14ac:dyDescent="0.2">
      <c r="B42" s="19"/>
      <c r="C42" s="13" t="b">
        <v>0</v>
      </c>
      <c r="D42" s="19" t="s">
        <v>173</v>
      </c>
      <c r="E42" s="19"/>
      <c r="F42" s="29" t="s">
        <v>171</v>
      </c>
      <c r="G42" s="36">
        <f>IF(AND($I$7&lt;25,$Q$16=1,$Q$12=5),1,0)</f>
        <v>0</v>
      </c>
      <c r="H42" s="34">
        <v>345</v>
      </c>
      <c r="I42" s="34">
        <f>G42*H42</f>
        <v>0</v>
      </c>
      <c r="J42" s="164"/>
      <c r="K42" s="164"/>
      <c r="L42" s="164"/>
      <c r="M42" s="164"/>
      <c r="N42" s="164"/>
      <c r="BI42" s="107">
        <f>H42*$BI$2</f>
        <v>372.6</v>
      </c>
      <c r="BJ42" s="134">
        <f t="shared" ref="BJ42" si="4">CEILING(BI42, 5)</f>
        <v>375</v>
      </c>
    </row>
    <row r="43" spans="2:62" ht="12.75" customHeight="1" x14ac:dyDescent="0.2">
      <c r="B43" s="19"/>
      <c r="C43" s="13" t="b">
        <v>0</v>
      </c>
      <c r="D43" s="19" t="s">
        <v>174</v>
      </c>
      <c r="E43" s="19"/>
      <c r="F43" s="29" t="s">
        <v>175</v>
      </c>
      <c r="G43" s="36">
        <f>IF(AND($I$7&lt;25,$Q$16=1,$Q$12=6),1,0)</f>
        <v>0</v>
      </c>
      <c r="H43" s="40" t="s">
        <v>45</v>
      </c>
      <c r="I43" s="34">
        <f>IF(G43=1,"Quote",0)</f>
        <v>0</v>
      </c>
      <c r="J43" s="164"/>
      <c r="K43" s="164"/>
      <c r="L43" s="164"/>
      <c r="M43" s="164"/>
      <c r="N43" s="164"/>
      <c r="BB43" s="54"/>
      <c r="BC43" s="54"/>
      <c r="BD43" s="54"/>
      <c r="BE43" s="54"/>
      <c r="BF43" s="54"/>
    </row>
    <row r="44" spans="2:62" ht="5.0999999999999996" customHeight="1" x14ac:dyDescent="0.2">
      <c r="B44" s="167"/>
      <c r="C44" s="168"/>
      <c r="D44" s="168"/>
      <c r="E44" s="168"/>
      <c r="F44" s="168"/>
      <c r="G44" s="168"/>
      <c r="H44" s="168"/>
      <c r="I44" s="168"/>
      <c r="J44" s="168"/>
      <c r="K44" s="168"/>
      <c r="L44" s="168"/>
      <c r="M44" s="168"/>
      <c r="N44" s="168"/>
      <c r="AY44" s="54"/>
      <c r="AZ44" s="54"/>
      <c r="BA44" s="54"/>
      <c r="BB44"/>
      <c r="BC44"/>
    </row>
    <row r="45" spans="2:62" ht="12.75" customHeight="1" x14ac:dyDescent="0.2">
      <c r="B45" s="117" t="s">
        <v>187</v>
      </c>
      <c r="C45" s="117"/>
      <c r="D45" s="113"/>
      <c r="E45" s="113"/>
      <c r="F45" s="117"/>
      <c r="G45" s="24" t="s">
        <v>50</v>
      </c>
      <c r="H45" s="24" t="s">
        <v>43</v>
      </c>
      <c r="I45" s="24" t="s">
        <v>227</v>
      </c>
      <c r="J45" s="24"/>
      <c r="K45" s="22"/>
      <c r="L45" s="22"/>
      <c r="M45" s="25" t="s">
        <v>143</v>
      </c>
      <c r="N45" s="37">
        <f>SUM(I46:I50)</f>
        <v>0</v>
      </c>
      <c r="Q45" s="171" t="s">
        <v>96</v>
      </c>
      <c r="R45" s="171"/>
      <c r="S45" s="171"/>
      <c r="T45" s="171"/>
      <c r="U45" s="171"/>
      <c r="V45" s="171"/>
      <c r="W45" s="171" t="s">
        <v>97</v>
      </c>
      <c r="X45" s="171"/>
      <c r="Y45" s="171"/>
      <c r="Z45" s="171"/>
      <c r="AA45" s="171"/>
      <c r="AB45" s="171"/>
      <c r="AC45" s="171"/>
      <c r="AD45" s="171"/>
      <c r="AE45" s="171"/>
      <c r="AF45" s="171"/>
      <c r="AG45" s="171"/>
      <c r="AH45" s="172" t="s">
        <v>98</v>
      </c>
      <c r="AI45" s="172"/>
      <c r="AJ45" s="172"/>
      <c r="AK45" s="172"/>
      <c r="AL45" s="172"/>
      <c r="AM45" s="172"/>
      <c r="AN45" s="172"/>
      <c r="AO45" s="172"/>
      <c r="AP45" s="172"/>
      <c r="AQ45" s="172"/>
      <c r="AR45" s="172"/>
      <c r="AS45" s="172"/>
      <c r="AT45" s="172"/>
      <c r="AU45" s="172"/>
      <c r="AV45" s="172"/>
      <c r="AW45" s="172"/>
      <c r="AX45" s="54"/>
      <c r="AY45"/>
      <c r="AZ45"/>
      <c r="BA45"/>
      <c r="BB45"/>
      <c r="BC45"/>
    </row>
    <row r="46" spans="2:62" ht="13.7" customHeight="1" x14ac:dyDescent="0.2">
      <c r="B46" s="109"/>
      <c r="C46" s="115" t="b">
        <v>0</v>
      </c>
      <c r="D46" s="109" t="s">
        <v>117</v>
      </c>
      <c r="E46" s="109"/>
      <c r="F46" s="116" t="str">
        <f>IF(AND(C46=TRUE,$Q$10&lt;&gt;3,$Q$8=1),$Q$9,IF(AND(C46=TRUE,$Q$10&lt;&gt;3,$Q$8=2),$Q$9,IF(AND(C46=TRUE,$Q$10&lt;&gt;3,$Q$8=4),$Q$9,"")))</f>
        <v/>
      </c>
      <c r="G46" s="41">
        <f>IF(AND(C46=TRUE,$Q$10&lt;&gt;3,$Q$8=1),1,IF(AND(C46=TRUE,$Q$10&lt;&gt;3,$Q$8=2),1,IF(AND(C46=TRUE,$Q$10&lt;&gt;3,$Q$8=4),1,0)))</f>
        <v>0</v>
      </c>
      <c r="H46" s="42">
        <v>130</v>
      </c>
      <c r="I46" s="42">
        <f>G46*H46</f>
        <v>0</v>
      </c>
      <c r="J46" s="163" t="s">
        <v>254</v>
      </c>
      <c r="K46" s="163"/>
      <c r="L46" s="163"/>
      <c r="M46" s="163"/>
      <c r="N46" s="163"/>
      <c r="Q46" s="170" t="s">
        <v>52</v>
      </c>
      <c r="R46" s="170" t="s">
        <v>53</v>
      </c>
      <c r="S46" s="170" t="s">
        <v>94</v>
      </c>
      <c r="T46" s="170" t="s">
        <v>95</v>
      </c>
      <c r="U46" s="170" t="s">
        <v>178</v>
      </c>
      <c r="V46" s="170" t="s">
        <v>179</v>
      </c>
      <c r="W46" s="170" t="s">
        <v>119</v>
      </c>
      <c r="X46" s="170" t="s">
        <v>118</v>
      </c>
      <c r="Y46" s="170" t="s">
        <v>131</v>
      </c>
      <c r="Z46" s="170" t="s">
        <v>130</v>
      </c>
      <c r="AA46" s="170" t="s">
        <v>121</v>
      </c>
      <c r="AB46" s="170" t="s">
        <v>120</v>
      </c>
      <c r="AC46" s="170" t="s">
        <v>90</v>
      </c>
      <c r="AD46" s="170" t="s">
        <v>91</v>
      </c>
      <c r="AE46" s="170" t="s">
        <v>92</v>
      </c>
      <c r="AF46" s="170" t="s">
        <v>93</v>
      </c>
      <c r="AG46" s="170" t="s">
        <v>128</v>
      </c>
      <c r="AH46" s="169" t="s">
        <v>132</v>
      </c>
      <c r="AI46" s="169" t="s">
        <v>133</v>
      </c>
      <c r="AJ46" s="169" t="s">
        <v>134</v>
      </c>
      <c r="AK46" s="169" t="s">
        <v>136</v>
      </c>
      <c r="AL46" s="169" t="s">
        <v>137</v>
      </c>
      <c r="AM46" s="169" t="s">
        <v>138</v>
      </c>
      <c r="AN46" s="169" t="s">
        <v>86</v>
      </c>
      <c r="AO46" s="169" t="s">
        <v>87</v>
      </c>
      <c r="AP46" s="169" t="s">
        <v>123</v>
      </c>
      <c r="AQ46" s="169" t="s">
        <v>122</v>
      </c>
      <c r="AR46" s="169" t="s">
        <v>124</v>
      </c>
      <c r="AS46" s="169" t="s">
        <v>125</v>
      </c>
      <c r="AT46" s="169" t="s">
        <v>127</v>
      </c>
      <c r="AU46" s="169" t="s">
        <v>126</v>
      </c>
      <c r="AV46" s="169" t="s">
        <v>88</v>
      </c>
      <c r="AW46" s="169" t="s">
        <v>89</v>
      </c>
      <c r="AX46"/>
      <c r="AY46"/>
      <c r="AZ46"/>
      <c r="BA46"/>
      <c r="BB46"/>
      <c r="BC46"/>
      <c r="BI46" s="107">
        <f>H46*$BI$2</f>
        <v>140.4</v>
      </c>
      <c r="BJ46" s="134">
        <f t="shared" ref="BJ46:BJ48" si="5">CEILING(BI46, 5)</f>
        <v>145</v>
      </c>
    </row>
    <row r="47" spans="2:62" x14ac:dyDescent="0.2">
      <c r="B47" s="19"/>
      <c r="C47" s="13" t="b">
        <v>0</v>
      </c>
      <c r="D47" s="19" t="s">
        <v>135</v>
      </c>
      <c r="E47" s="19"/>
      <c r="F47" s="38" t="str">
        <f>IF(AND(C47=TRUE,$Q$10&lt;&gt;3,$Q$8=1),$Q$9,IF(AND(C47=TRUE,$Q$10&lt;&gt;3,$Q$8=2),$Q$9,IF(AND(C47=TRUE,$Q$10&lt;&gt;3,$Q$8=4),$Q$9,"")))</f>
        <v/>
      </c>
      <c r="G47" s="39">
        <f>IF(AND(C47=TRUE,$Q$10&lt;&gt;3,$Q$8=1),1,IF(AND(C47=TRUE,$Q$10&lt;&gt;3,$Q$8=2),1,IF(AND(C47=TRUE,$Q$10&lt;&gt;3,$Q$8=4),1,0)))</f>
        <v>0</v>
      </c>
      <c r="H47" s="34">
        <v>130</v>
      </c>
      <c r="I47" s="34">
        <f>G47*H47</f>
        <v>0</v>
      </c>
      <c r="J47" s="164"/>
      <c r="K47" s="164"/>
      <c r="L47" s="164"/>
      <c r="M47" s="164"/>
      <c r="N47" s="164"/>
      <c r="P47" s="88" t="s">
        <v>83</v>
      </c>
      <c r="Q47" s="170"/>
      <c r="R47" s="170"/>
      <c r="S47" s="170"/>
      <c r="T47" s="170"/>
      <c r="U47" s="170"/>
      <c r="V47" s="170"/>
      <c r="W47" s="170"/>
      <c r="X47" s="170"/>
      <c r="Y47" s="170"/>
      <c r="Z47" s="170"/>
      <c r="AA47" s="170"/>
      <c r="AB47" s="170"/>
      <c r="AC47" s="170"/>
      <c r="AD47" s="170"/>
      <c r="AE47" s="170"/>
      <c r="AF47" s="170"/>
      <c r="AG47" s="170"/>
      <c r="AH47" s="169"/>
      <c r="AI47" s="169"/>
      <c r="AJ47" s="169"/>
      <c r="AK47" s="169"/>
      <c r="AL47" s="169"/>
      <c r="AM47" s="169"/>
      <c r="AN47" s="169"/>
      <c r="AO47" s="169"/>
      <c r="AP47" s="169"/>
      <c r="AQ47" s="169"/>
      <c r="AR47" s="169"/>
      <c r="AS47" s="169"/>
      <c r="AT47" s="169"/>
      <c r="AU47" s="169"/>
      <c r="AV47" s="169"/>
      <c r="AW47" s="169"/>
      <c r="AY47"/>
      <c r="AZ47"/>
      <c r="BA47" s="8"/>
      <c r="BB47"/>
      <c r="BC47"/>
      <c r="BI47" s="107">
        <f>H47*$BI$2</f>
        <v>140.4</v>
      </c>
      <c r="BJ47" s="134">
        <f t="shared" si="5"/>
        <v>145</v>
      </c>
    </row>
    <row r="48" spans="2:62" x14ac:dyDescent="0.2">
      <c r="B48" s="19"/>
      <c r="C48" s="13" t="b">
        <v>0</v>
      </c>
      <c r="D48" s="19" t="s">
        <v>231</v>
      </c>
      <c r="E48" s="19"/>
      <c r="F48" s="38" t="str">
        <f>IF(AND(C48=TRUE,$Q$10=3,$Q$8=1),$Q$9,IF(AND(C48=TRUE,$Q$10=3,$Q$8=3),$Q$9,IF(AND(C48=TRUE,$Q$10=3,$Q$8=4),$Q$9,"")))</f>
        <v/>
      </c>
      <c r="G48" s="39">
        <f>IF(AND(C48=TRUE,$Q$10=3,$Q$8=1),1,IF(AND(C48=TRUE,$Q$10=3,$Q$8=3),1,IF(AND(C48=TRUE,$Q$10=3,$Q$8=4),1,0)))</f>
        <v>0</v>
      </c>
      <c r="H48" s="34">
        <v>120</v>
      </c>
      <c r="I48" s="34">
        <f>G48*H48</f>
        <v>0</v>
      </c>
      <c r="J48" s="164"/>
      <c r="K48" s="164"/>
      <c r="L48" s="164"/>
      <c r="M48" s="164"/>
      <c r="N48" s="164"/>
      <c r="P48" s="2" t="s">
        <v>84</v>
      </c>
      <c r="Q48" s="89" t="s">
        <v>210</v>
      </c>
      <c r="R48" s="89" t="s">
        <v>213</v>
      </c>
      <c r="S48" s="89">
        <v>3850559</v>
      </c>
      <c r="T48" s="89">
        <v>8692305</v>
      </c>
      <c r="U48" s="89"/>
      <c r="V48" s="89"/>
      <c r="W48" s="89" t="s">
        <v>211</v>
      </c>
      <c r="X48" s="89" t="s">
        <v>212</v>
      </c>
      <c r="Y48" s="89" t="s">
        <v>139</v>
      </c>
      <c r="Z48" s="89" t="s">
        <v>140</v>
      </c>
      <c r="AA48" s="89" t="s">
        <v>214</v>
      </c>
      <c r="AB48" s="89" t="s">
        <v>225</v>
      </c>
      <c r="AC48" s="89">
        <v>3847302</v>
      </c>
      <c r="AD48" s="89">
        <v>3847303</v>
      </c>
      <c r="AE48" s="89">
        <v>4681794</v>
      </c>
      <c r="AF48" s="89">
        <v>21681795</v>
      </c>
      <c r="AG48" s="89" t="s">
        <v>226</v>
      </c>
      <c r="AH48" s="90"/>
      <c r="AI48" s="90"/>
      <c r="AJ48" s="90"/>
      <c r="AK48" s="90"/>
      <c r="AL48" s="90"/>
      <c r="AM48" s="90"/>
      <c r="AN48" s="90"/>
      <c r="AO48" s="90"/>
      <c r="AP48" s="90"/>
      <c r="AQ48" s="90"/>
      <c r="AR48" s="90"/>
      <c r="AS48" s="90"/>
      <c r="AT48" s="90"/>
      <c r="AU48" s="90"/>
      <c r="AV48" s="90"/>
      <c r="AW48" s="90"/>
      <c r="AX48" s="7"/>
      <c r="AY48" s="7"/>
      <c r="AZ48" s="7"/>
      <c r="BA48"/>
      <c r="BB48"/>
      <c r="BC48"/>
      <c r="BI48" s="107">
        <f>H48*$BI$2</f>
        <v>129.60000000000002</v>
      </c>
      <c r="BJ48" s="134">
        <f t="shared" si="5"/>
        <v>130</v>
      </c>
    </row>
    <row r="49" spans="2:62" x14ac:dyDescent="0.2">
      <c r="B49" s="19"/>
      <c r="C49" s="13" t="b">
        <v>0</v>
      </c>
      <c r="D49" s="19" t="s">
        <v>51</v>
      </c>
      <c r="E49" s="19"/>
      <c r="F49" s="38"/>
      <c r="G49" s="39">
        <f>SUM(G46:G48)</f>
        <v>0</v>
      </c>
      <c r="H49" s="34">
        <v>5</v>
      </c>
      <c r="I49" s="34">
        <f t="shared" ref="I49:I50" si="6">G49*H49</f>
        <v>0</v>
      </c>
      <c r="J49" s="164"/>
      <c r="K49" s="164"/>
      <c r="L49" s="164"/>
      <c r="M49" s="164"/>
      <c r="N49" s="164"/>
      <c r="P49" s="2" t="s">
        <v>85</v>
      </c>
      <c r="Q49" s="91">
        <v>11.99</v>
      </c>
      <c r="R49" s="91">
        <v>10.99</v>
      </c>
      <c r="S49" s="91">
        <v>15.37</v>
      </c>
      <c r="T49" s="91">
        <v>17.3</v>
      </c>
      <c r="U49" s="91">
        <v>79.5</v>
      </c>
      <c r="V49" s="92">
        <v>96.3</v>
      </c>
      <c r="W49" s="91">
        <v>9.99</v>
      </c>
      <c r="X49" s="91">
        <v>36.99</v>
      </c>
      <c r="Y49" s="91">
        <v>18.95</v>
      </c>
      <c r="Z49" s="91">
        <v>60.99</v>
      </c>
      <c r="AA49" s="91">
        <v>13.99</v>
      </c>
      <c r="AB49" s="91">
        <v>57.95</v>
      </c>
      <c r="AC49" s="91">
        <v>10.23</v>
      </c>
      <c r="AD49" s="91">
        <v>36.96</v>
      </c>
      <c r="AE49" s="91">
        <v>15.85</v>
      </c>
      <c r="AF49" s="91">
        <v>57.71</v>
      </c>
      <c r="AG49" s="91">
        <v>10.050000000000001</v>
      </c>
      <c r="AH49" s="93">
        <f>Q49+X49</f>
        <v>48.980000000000004</v>
      </c>
      <c r="AI49" s="93">
        <f>Q49+W49+X49</f>
        <v>58.97</v>
      </c>
      <c r="AJ49" s="93">
        <f>Q49+(W49*2)+X49</f>
        <v>68.960000000000008</v>
      </c>
      <c r="AK49" s="93">
        <f>Q49+Z49</f>
        <v>72.98</v>
      </c>
      <c r="AL49" s="93">
        <f>Q49+Y49+Z49</f>
        <v>91.93</v>
      </c>
      <c r="AM49" s="93">
        <f>Q49+(2*Y49)+Z49</f>
        <v>110.88</v>
      </c>
      <c r="AN49" s="93">
        <f>R49+(AA49*2)+AB49</f>
        <v>96.92</v>
      </c>
      <c r="AO49" s="93">
        <f>R49+(AA49*3)+AB49</f>
        <v>110.91</v>
      </c>
      <c r="AP49" s="93">
        <f>T49+AD49</f>
        <v>54.260000000000005</v>
      </c>
      <c r="AQ49" s="93">
        <f>T49+AC49+AD49</f>
        <v>64.490000000000009</v>
      </c>
      <c r="AR49" s="93">
        <f>T49+(AC49*2)+AD49</f>
        <v>74.72</v>
      </c>
      <c r="AS49" s="93">
        <f>T49+AF49</f>
        <v>75.010000000000005</v>
      </c>
      <c r="AT49" s="93">
        <f>T49+AE49+AF49</f>
        <v>90.86</v>
      </c>
      <c r="AU49" s="93">
        <f>T49+(AE49*2)+AF49</f>
        <v>106.71000000000001</v>
      </c>
      <c r="AV49" s="93">
        <f>U49+(AG49*7)</f>
        <v>149.85000000000002</v>
      </c>
      <c r="AW49" s="93">
        <f>V49+(AG49*8)</f>
        <v>176.7</v>
      </c>
      <c r="AY49"/>
      <c r="AZ49"/>
      <c r="BA49"/>
      <c r="BI49" s="107">
        <f>H49*$BI$2</f>
        <v>5.4</v>
      </c>
      <c r="BJ49" s="134">
        <v>4</v>
      </c>
    </row>
    <row r="50" spans="2:62" x14ac:dyDescent="0.2">
      <c r="B50" s="19"/>
      <c r="C50" s="19" t="b">
        <v>1</v>
      </c>
      <c r="D50" s="19" t="s">
        <v>49</v>
      </c>
      <c r="E50" s="19"/>
      <c r="F50" s="38"/>
      <c r="G50" s="39">
        <f>SUM(G46:G48)</f>
        <v>0</v>
      </c>
      <c r="H50" s="34">
        <v>10</v>
      </c>
      <c r="I50" s="34">
        <f t="shared" si="6"/>
        <v>0</v>
      </c>
      <c r="J50" s="164"/>
      <c r="K50" s="164"/>
      <c r="L50" s="164"/>
      <c r="M50" s="164"/>
      <c r="N50" s="164"/>
      <c r="BI50" s="107">
        <f>H50*$BI$2</f>
        <v>10.8</v>
      </c>
      <c r="BJ50" s="134">
        <v>10</v>
      </c>
    </row>
    <row r="51" spans="2:62" ht="5.0999999999999996" customHeight="1" x14ac:dyDescent="0.2">
      <c r="F51" s="83"/>
      <c r="G51" s="55"/>
      <c r="H51" s="33"/>
      <c r="I51" s="33"/>
      <c r="J51" s="67"/>
      <c r="K51" s="67"/>
      <c r="L51" s="67"/>
      <c r="M51" s="67"/>
      <c r="N51" s="67"/>
    </row>
    <row r="52" spans="2:62" x14ac:dyDescent="0.2">
      <c r="B52" s="117" t="s">
        <v>249</v>
      </c>
      <c r="C52" s="117"/>
      <c r="D52" s="113"/>
      <c r="E52" s="113"/>
      <c r="F52" s="117"/>
      <c r="G52" s="24" t="s">
        <v>50</v>
      </c>
      <c r="H52" s="24" t="s">
        <v>43</v>
      </c>
      <c r="I52" s="24" t="s">
        <v>227</v>
      </c>
      <c r="J52" s="24"/>
      <c r="K52" s="22"/>
      <c r="L52" s="22"/>
      <c r="M52" s="25" t="s">
        <v>143</v>
      </c>
      <c r="N52" s="37">
        <f>SUM(I53)</f>
        <v>0</v>
      </c>
      <c r="Q52" s="171"/>
      <c r="R52" s="171"/>
      <c r="S52" s="171"/>
      <c r="T52" s="171"/>
      <c r="U52" s="171"/>
      <c r="V52" s="171"/>
      <c r="W52" s="171"/>
      <c r="X52" s="171"/>
      <c r="Y52" s="171"/>
      <c r="Z52" s="171"/>
      <c r="AB52" s="2"/>
      <c r="BD52" s="1"/>
      <c r="BE52" s="1"/>
      <c r="BF52" s="1"/>
      <c r="BG52" s="1"/>
    </row>
    <row r="53" spans="2:62" ht="13.7" customHeight="1" x14ac:dyDescent="0.2">
      <c r="C53" s="120" t="b">
        <v>0</v>
      </c>
      <c r="D53" s="1" t="s">
        <v>232</v>
      </c>
      <c r="F53" s="83" t="str">
        <f>IF(AND(C53=TRUE,$Q$8&lt;5),Q9,"")</f>
        <v/>
      </c>
      <c r="G53" s="121">
        <f>IF(AND(C53=TRUE,$Q$8&lt;5),1,0)</f>
        <v>0</v>
      </c>
      <c r="H53" s="122">
        <v>145</v>
      </c>
      <c r="I53" s="122">
        <f>G53*H53</f>
        <v>0</v>
      </c>
      <c r="J53" s="159" t="s">
        <v>252</v>
      </c>
      <c r="K53" s="159"/>
      <c r="L53" s="159"/>
      <c r="M53" s="159"/>
      <c r="N53" s="159"/>
      <c r="BD53" s="1"/>
      <c r="BE53" s="1"/>
      <c r="BI53" s="107">
        <f>H53*$BI$2</f>
        <v>156.60000000000002</v>
      </c>
      <c r="BJ53" s="134">
        <f t="shared" ref="BJ53" si="7">CEILING(BI53, 5)</f>
        <v>160</v>
      </c>
    </row>
    <row r="54" spans="2:62" ht="5.0999999999999996" customHeight="1" x14ac:dyDescent="0.2">
      <c r="B54" s="27"/>
      <c r="C54" s="129"/>
      <c r="D54" s="129"/>
      <c r="E54" s="129"/>
      <c r="F54" s="129"/>
      <c r="G54" s="129"/>
      <c r="H54" s="129"/>
      <c r="I54" s="129"/>
      <c r="J54" s="160"/>
      <c r="K54" s="160"/>
      <c r="L54" s="160"/>
      <c r="M54" s="160"/>
      <c r="N54" s="160"/>
    </row>
    <row r="55" spans="2:62" ht="5.0999999999999996" customHeight="1" x14ac:dyDescent="0.2">
      <c r="B55" s="27"/>
      <c r="C55" s="129"/>
      <c r="D55" s="129"/>
      <c r="E55" s="129"/>
      <c r="F55" s="129"/>
      <c r="G55" s="129"/>
      <c r="H55" s="129"/>
      <c r="I55" s="129"/>
      <c r="J55" s="139"/>
      <c r="K55" s="139"/>
      <c r="L55" s="139"/>
      <c r="M55" s="139"/>
      <c r="N55" s="139"/>
    </row>
    <row r="56" spans="2:62" x14ac:dyDescent="0.2">
      <c r="B56" s="117" t="s">
        <v>233</v>
      </c>
      <c r="C56" s="117"/>
      <c r="D56" s="113"/>
      <c r="E56" s="113"/>
      <c r="F56" s="117"/>
      <c r="G56" s="24" t="s">
        <v>50</v>
      </c>
      <c r="H56" s="24" t="s">
        <v>43</v>
      </c>
      <c r="I56" s="24" t="s">
        <v>227</v>
      </c>
      <c r="J56" s="24"/>
      <c r="K56" s="22"/>
      <c r="L56" s="22"/>
      <c r="M56" s="25" t="s">
        <v>143</v>
      </c>
      <c r="N56" s="37">
        <f>SUM(I57:I61)</f>
        <v>0</v>
      </c>
      <c r="Q56" s="171"/>
      <c r="R56" s="171"/>
      <c r="S56" s="171"/>
      <c r="T56" s="171"/>
      <c r="U56" s="171"/>
      <c r="V56" s="171"/>
      <c r="W56" s="171"/>
      <c r="X56" s="171"/>
      <c r="Y56" s="171"/>
      <c r="Z56" s="171"/>
      <c r="AB56" s="2"/>
      <c r="BD56" s="1"/>
      <c r="BE56" s="1"/>
      <c r="BF56" s="1"/>
      <c r="BG56" s="1"/>
    </row>
    <row r="57" spans="2:62" ht="13.7" customHeight="1" x14ac:dyDescent="0.2">
      <c r="B57" s="109"/>
      <c r="C57" s="115" t="b">
        <v>0</v>
      </c>
      <c r="D57" s="109" t="s">
        <v>229</v>
      </c>
      <c r="E57" s="109"/>
      <c r="F57" s="116" t="str">
        <f>IF(AND(C57=TRUE,$Q$8=1,$Q$10=5),$T$12,"")</f>
        <v/>
      </c>
      <c r="G57" s="65">
        <f>IF(AND(C57=TRUE,$Q$8=1,$Q$10=5),1,0)</f>
        <v>0</v>
      </c>
      <c r="H57" s="42">
        <v>475</v>
      </c>
      <c r="I57" s="42">
        <f>G57*H57</f>
        <v>0</v>
      </c>
      <c r="J57" s="163" t="s">
        <v>247</v>
      </c>
      <c r="K57" s="163"/>
      <c r="L57" s="163"/>
      <c r="M57" s="163"/>
      <c r="N57" s="163"/>
      <c r="Q57" s="170"/>
      <c r="R57" s="170"/>
      <c r="S57" s="170"/>
      <c r="T57" s="170"/>
      <c r="U57" s="170"/>
      <c r="V57" s="170"/>
      <c r="W57" s="170"/>
      <c r="X57" s="170"/>
      <c r="Y57" s="170"/>
      <c r="Z57" s="170"/>
      <c r="BD57" s="1"/>
      <c r="BE57" s="1"/>
      <c r="BI57" s="107">
        <f>H57*$BI$2</f>
        <v>513</v>
      </c>
      <c r="BJ57" s="134">
        <f t="shared" ref="BJ57:BJ60" si="8">CEILING(BI57, 5)</f>
        <v>515</v>
      </c>
    </row>
    <row r="58" spans="2:62" x14ac:dyDescent="0.2">
      <c r="B58" s="19"/>
      <c r="C58" s="13" t="b">
        <v>0</v>
      </c>
      <c r="D58" s="19" t="s">
        <v>246</v>
      </c>
      <c r="E58" s="19"/>
      <c r="F58" s="38" t="str">
        <f>IF(AND(C58=TRUE,$Q$8=1,$Q$10=4),$T$11,"")</f>
        <v/>
      </c>
      <c r="G58" s="43">
        <f>IF(AND(C58=TRUE,$Q$8=1,$Q$10=4),1,0)</f>
        <v>0</v>
      </c>
      <c r="H58" s="34">
        <v>665</v>
      </c>
      <c r="I58" s="34">
        <f>G58*H58</f>
        <v>0</v>
      </c>
      <c r="J58" s="164"/>
      <c r="K58" s="164"/>
      <c r="L58" s="164"/>
      <c r="M58" s="164"/>
      <c r="N58" s="164"/>
      <c r="P58" s="2"/>
      <c r="Q58" s="170"/>
      <c r="R58" s="170"/>
      <c r="S58" s="170"/>
      <c r="T58" s="170"/>
      <c r="U58" s="170"/>
      <c r="V58" s="170"/>
      <c r="W58" s="170"/>
      <c r="X58" s="170"/>
      <c r="Y58" s="170"/>
      <c r="Z58" s="170"/>
      <c r="AB58" s="87"/>
      <c r="AC58" s="87"/>
      <c r="AD58" s="87"/>
      <c r="AE58" s="87"/>
      <c r="AF58" s="87"/>
      <c r="AG58" s="87"/>
      <c r="AH58" s="87"/>
      <c r="AI58" s="87"/>
      <c r="AJ58" s="87"/>
      <c r="AK58" s="87"/>
      <c r="AL58" s="87"/>
      <c r="AM58" s="87"/>
      <c r="AN58" s="87"/>
      <c r="AO58" s="87"/>
      <c r="AP58" s="87"/>
      <c r="AQ58" s="87"/>
      <c r="BD58" s="1"/>
      <c r="BE58" s="1"/>
      <c r="BI58" s="107">
        <f>H58*$BI$2</f>
        <v>718.2</v>
      </c>
      <c r="BJ58" s="134">
        <f t="shared" si="8"/>
        <v>720</v>
      </c>
    </row>
    <row r="59" spans="2:62" x14ac:dyDescent="0.2">
      <c r="B59" s="19"/>
      <c r="C59" s="13" t="b">
        <v>0</v>
      </c>
      <c r="D59" s="19" t="s">
        <v>308</v>
      </c>
      <c r="E59" s="19"/>
      <c r="F59" s="38" t="str">
        <f>IF(AND(C59=TRUE,$Q$8=2,$Q$10=6),$T$13,IF(AND(C59=TRUE,$Q$8=2,$Q$10=7),$T$14,IF(AND(C59=TRUE,$Q$8=2,$Q$10=8),$T$15,"")))</f>
        <v/>
      </c>
      <c r="G59" s="43">
        <f>IF(AND(C59=TRUE,$Q$10=6,$Q$8=2),1,IF(AND(C59=TRUE,$Q$10=7,$Q$8=2),1,IF(AND(C59=TRUE,$Q$10=8,$Q$8=2),1,0)))</f>
        <v>0</v>
      </c>
      <c r="H59" s="34">
        <v>275</v>
      </c>
      <c r="I59" s="34">
        <f>G59*H59</f>
        <v>0</v>
      </c>
      <c r="J59" s="164"/>
      <c r="K59" s="164"/>
      <c r="L59" s="164"/>
      <c r="M59" s="164"/>
      <c r="N59" s="164"/>
      <c r="P59" s="2"/>
      <c r="Q59" s="49"/>
      <c r="R59" s="49"/>
      <c r="S59" s="49"/>
      <c r="T59" s="49"/>
      <c r="U59" s="49"/>
      <c r="V59" s="49"/>
      <c r="W59" s="49"/>
      <c r="X59" s="49"/>
      <c r="Y59" s="49"/>
      <c r="Z59" s="49"/>
      <c r="AB59" s="87"/>
      <c r="AC59" s="87"/>
      <c r="AD59" s="87"/>
      <c r="AE59" s="87"/>
      <c r="AF59" s="87"/>
      <c r="AG59" s="87"/>
      <c r="AH59" s="87"/>
      <c r="AI59" s="87"/>
      <c r="AJ59" s="87"/>
      <c r="AK59" s="87"/>
      <c r="AL59" s="87"/>
      <c r="AM59" s="87"/>
      <c r="AN59" s="87"/>
      <c r="AO59" s="87"/>
      <c r="AP59" s="87"/>
      <c r="AQ59" s="87"/>
      <c r="BD59" s="1"/>
      <c r="BE59" s="1"/>
      <c r="BI59" s="107">
        <f>H59*$BI$2</f>
        <v>297</v>
      </c>
      <c r="BJ59" s="134">
        <f t="shared" si="8"/>
        <v>300</v>
      </c>
    </row>
    <row r="60" spans="2:62" x14ac:dyDescent="0.2">
      <c r="B60" s="19"/>
      <c r="C60" s="13" t="b">
        <v>0</v>
      </c>
      <c r="D60" s="19" t="s">
        <v>73</v>
      </c>
      <c r="E60" s="19"/>
      <c r="F60" s="38" t="str">
        <f>IF(AND(C60=TRUE,$Q$8=1,$Q$10=1),$S$8,IF(AND(C60=TRUE,$Q$8=2,$Q$10=1),$S$9,IF(AND(C60=TRUE,$Q$8=3,$Q$10=1),$S$10,IF(AND(C60=TRUE,$Q$8=4,$Q$10=1),$S$11,""))))</f>
        <v/>
      </c>
      <c r="G60" s="43">
        <f>IF(AND(C60=TRUE,$Q$10=1,$Q$8&lt;5),1,0)</f>
        <v>0</v>
      </c>
      <c r="H60" s="34">
        <v>355</v>
      </c>
      <c r="I60" s="34">
        <f>G60*H60</f>
        <v>0</v>
      </c>
      <c r="J60" s="164"/>
      <c r="K60" s="164"/>
      <c r="L60" s="164"/>
      <c r="M60" s="164"/>
      <c r="N60" s="164"/>
      <c r="P60" s="2"/>
      <c r="Q60" s="49"/>
      <c r="R60" s="49"/>
      <c r="S60" s="49"/>
      <c r="T60" s="49"/>
      <c r="U60" s="49"/>
      <c r="V60" s="49"/>
      <c r="W60" s="49"/>
      <c r="X60" s="49"/>
      <c r="Y60" s="49"/>
      <c r="Z60" s="49"/>
      <c r="AB60" s="87"/>
      <c r="AC60" s="87"/>
      <c r="AD60" s="87"/>
      <c r="AE60" s="87"/>
      <c r="AF60" s="87"/>
      <c r="AG60" s="87"/>
      <c r="AH60" s="87"/>
      <c r="AI60" s="87"/>
      <c r="AJ60" s="87"/>
      <c r="AK60" s="87"/>
      <c r="AL60" s="87"/>
      <c r="AM60" s="87"/>
      <c r="AN60" s="87"/>
      <c r="AO60" s="87"/>
      <c r="AP60" s="87"/>
      <c r="AQ60" s="87"/>
      <c r="BD60" s="1"/>
      <c r="BE60" s="1"/>
      <c r="BI60" s="107">
        <f>H60*$BI$2</f>
        <v>383.40000000000003</v>
      </c>
      <c r="BJ60" s="134">
        <f t="shared" si="8"/>
        <v>385</v>
      </c>
    </row>
    <row r="61" spans="2:62" x14ac:dyDescent="0.2">
      <c r="B61" s="19"/>
      <c r="C61" s="13" t="b">
        <v>0</v>
      </c>
      <c r="D61" s="19" t="s">
        <v>72</v>
      </c>
      <c r="E61" s="19"/>
      <c r="F61" s="38"/>
      <c r="G61" s="43">
        <f>IF(AND(C61=TRUE,$Q$10=3),1,0)</f>
        <v>0</v>
      </c>
      <c r="H61" s="40" t="s">
        <v>45</v>
      </c>
      <c r="I61" s="34">
        <v>0</v>
      </c>
      <c r="J61" s="164"/>
      <c r="K61" s="164"/>
      <c r="L61" s="164"/>
      <c r="M61" s="164"/>
      <c r="N61" s="164"/>
      <c r="P61" s="2"/>
      <c r="Q61" s="91"/>
      <c r="R61" s="91"/>
      <c r="S61" s="91"/>
      <c r="T61" s="91"/>
      <c r="U61" s="91"/>
      <c r="V61" s="91"/>
      <c r="W61" s="91"/>
      <c r="X61" s="91"/>
      <c r="Y61" s="91"/>
      <c r="Z61" s="91"/>
      <c r="BD61" s="1"/>
      <c r="BE61" s="1"/>
    </row>
    <row r="62" spans="2:62" ht="5.0999999999999996" customHeight="1" x14ac:dyDescent="0.2">
      <c r="B62" s="97"/>
      <c r="C62" s="98"/>
      <c r="D62" s="98"/>
      <c r="E62" s="98"/>
      <c r="F62" s="98"/>
      <c r="G62" s="98"/>
      <c r="H62" s="98"/>
      <c r="I62" s="98"/>
      <c r="J62" s="164"/>
      <c r="K62" s="164"/>
      <c r="L62" s="164"/>
      <c r="M62" s="164"/>
      <c r="N62" s="164"/>
    </row>
    <row r="63" spans="2:62" x14ac:dyDescent="0.2">
      <c r="B63" s="117" t="s">
        <v>234</v>
      </c>
      <c r="C63" s="117"/>
      <c r="D63" s="113"/>
      <c r="E63" s="113"/>
      <c r="F63" s="117"/>
      <c r="G63" s="24" t="s">
        <v>50</v>
      </c>
      <c r="H63" s="24" t="s">
        <v>43</v>
      </c>
      <c r="I63" s="24" t="s">
        <v>227</v>
      </c>
      <c r="J63" s="24"/>
      <c r="K63" s="22"/>
      <c r="L63" s="22"/>
      <c r="M63" s="25" t="s">
        <v>143</v>
      </c>
      <c r="N63" s="37">
        <f>SUM(I64:I72)</f>
        <v>0</v>
      </c>
      <c r="Q63" s="171" t="s">
        <v>181</v>
      </c>
      <c r="R63" s="171"/>
      <c r="S63" s="171"/>
      <c r="T63" s="171"/>
      <c r="U63" s="171"/>
      <c r="V63" s="171"/>
      <c r="W63" s="171" t="s">
        <v>100</v>
      </c>
      <c r="X63" s="171"/>
      <c r="Y63" s="171"/>
      <c r="Z63" s="171"/>
      <c r="AB63" s="2"/>
      <c r="BD63" s="1"/>
      <c r="BE63" s="1"/>
      <c r="BF63" s="1"/>
      <c r="BG63" s="1"/>
    </row>
    <row r="64" spans="2:62" ht="13.7" customHeight="1" x14ac:dyDescent="0.2">
      <c r="B64" s="109"/>
      <c r="C64" s="115" t="b">
        <v>0</v>
      </c>
      <c r="D64" s="109" t="s">
        <v>184</v>
      </c>
      <c r="E64" s="109"/>
      <c r="F64" s="116" t="str">
        <f>IF(AND(C64=TRUE,$Q$10&gt;3),$Q$11,"")</f>
        <v/>
      </c>
      <c r="G64" s="65">
        <f>IF(AND(C64=TRUE,$Q$10&gt;3),1,0)</f>
        <v>0</v>
      </c>
      <c r="H64" s="42">
        <v>125</v>
      </c>
      <c r="I64" s="42">
        <f t="shared" ref="I64:I72" si="9">G64*H64</f>
        <v>0</v>
      </c>
      <c r="J64" s="163" t="s">
        <v>238</v>
      </c>
      <c r="K64" s="163"/>
      <c r="L64" s="163"/>
      <c r="M64" s="163"/>
      <c r="N64" s="163"/>
      <c r="Q64" s="170" t="s">
        <v>109</v>
      </c>
      <c r="R64" s="170" t="s">
        <v>110</v>
      </c>
      <c r="S64" s="170" t="s">
        <v>180</v>
      </c>
      <c r="T64" s="170" t="s">
        <v>111</v>
      </c>
      <c r="U64" s="170" t="s">
        <v>112</v>
      </c>
      <c r="V64" s="170" t="s">
        <v>182</v>
      </c>
      <c r="W64" s="170" t="s">
        <v>105</v>
      </c>
      <c r="X64" s="170" t="s">
        <v>106</v>
      </c>
      <c r="Y64" s="170" t="s">
        <v>107</v>
      </c>
      <c r="Z64" s="170" t="s">
        <v>108</v>
      </c>
      <c r="BD64" s="1"/>
      <c r="BE64" s="1"/>
      <c r="BI64" s="107">
        <f t="shared" ref="BI64:BI72" si="10">H64*$BI$2</f>
        <v>135</v>
      </c>
      <c r="BJ64" s="134">
        <f t="shared" ref="BJ64:BJ70" si="11">CEILING(BI64, 5)</f>
        <v>135</v>
      </c>
    </row>
    <row r="65" spans="2:62" x14ac:dyDescent="0.2">
      <c r="B65" s="19"/>
      <c r="C65" s="13" t="b">
        <v>0</v>
      </c>
      <c r="D65" s="86" t="s">
        <v>54</v>
      </c>
      <c r="E65" s="19"/>
      <c r="F65" s="38" t="str">
        <f>IF(AND(C65=TRUE,$Q$10&gt;3),$Q$11,"")</f>
        <v/>
      </c>
      <c r="G65" s="43">
        <f>IF(AND(C65=TRUE,$Q$10&gt;3),1,0)</f>
        <v>0</v>
      </c>
      <c r="H65" s="34">
        <v>260</v>
      </c>
      <c r="I65" s="34">
        <f t="shared" si="9"/>
        <v>0</v>
      </c>
      <c r="J65" s="164"/>
      <c r="K65" s="164"/>
      <c r="L65" s="164"/>
      <c r="M65" s="164"/>
      <c r="N65" s="164"/>
      <c r="P65" s="2" t="s">
        <v>83</v>
      </c>
      <c r="Q65" s="170"/>
      <c r="R65" s="170"/>
      <c r="S65" s="170"/>
      <c r="T65" s="170"/>
      <c r="U65" s="170"/>
      <c r="V65" s="170"/>
      <c r="W65" s="170"/>
      <c r="X65" s="170"/>
      <c r="Y65" s="170"/>
      <c r="Z65" s="170"/>
      <c r="AB65" s="87"/>
      <c r="AC65" s="87"/>
      <c r="AD65" s="87"/>
      <c r="AE65" s="87"/>
      <c r="AF65" s="87"/>
      <c r="AG65" s="87"/>
      <c r="AH65" s="87"/>
      <c r="AI65" s="87"/>
      <c r="AJ65" s="87"/>
      <c r="AK65" s="87"/>
      <c r="AL65" s="87"/>
      <c r="AM65" s="87"/>
      <c r="AN65" s="87"/>
      <c r="AO65" s="87"/>
      <c r="AP65" s="87"/>
      <c r="AQ65" s="87"/>
      <c r="BD65" s="1"/>
      <c r="BE65" s="1"/>
      <c r="BI65" s="107">
        <f t="shared" si="10"/>
        <v>280.8</v>
      </c>
      <c r="BJ65" s="134">
        <f t="shared" si="11"/>
        <v>285</v>
      </c>
    </row>
    <row r="66" spans="2:62" x14ac:dyDescent="0.2">
      <c r="B66" s="19"/>
      <c r="C66" s="13" t="b">
        <v>0</v>
      </c>
      <c r="D66" s="19" t="s">
        <v>183</v>
      </c>
      <c r="E66" s="19"/>
      <c r="F66" s="38" t="str">
        <f>IF(AND(C66=TRUE,$Q$10=3,$Q$8=1),$Q$9,IF(AND(C66=TRUE,$Q$10=3,$Q$8=3),$Q$9,IF(AND(C66=TRUE,$Q$10=3,$Q$8=4),$Q$9,"")))</f>
        <v/>
      </c>
      <c r="G66" s="43">
        <f>IF(AND(C66=TRUE,$Q$10=3,$Q$8=1),1,IF(AND(C66=TRUE,$Q$10=3,$Q$8=3),1,IF(AND(C66=TRUE,$Q$10=3,$Q$8=4),1,0)))</f>
        <v>0</v>
      </c>
      <c r="H66" s="34">
        <v>105</v>
      </c>
      <c r="I66" s="34">
        <f t="shared" si="9"/>
        <v>0</v>
      </c>
      <c r="J66" s="164"/>
      <c r="K66" s="164"/>
      <c r="L66" s="164"/>
      <c r="M66" s="164"/>
      <c r="N66" s="164"/>
      <c r="P66" s="2" t="s">
        <v>84</v>
      </c>
      <c r="Q66" s="49"/>
      <c r="R66" s="49"/>
      <c r="S66" s="49"/>
      <c r="T66" s="49"/>
      <c r="U66" s="49"/>
      <c r="V66" s="49"/>
      <c r="W66" s="49"/>
      <c r="X66" s="49"/>
      <c r="Y66" s="49"/>
      <c r="Z66" s="49"/>
      <c r="AB66" s="87"/>
      <c r="AC66" s="87"/>
      <c r="AD66" s="87"/>
      <c r="AE66" s="87"/>
      <c r="AF66" s="87"/>
      <c r="AG66" s="87"/>
      <c r="AH66" s="87"/>
      <c r="AI66" s="87"/>
      <c r="AJ66" s="87"/>
      <c r="AK66" s="87"/>
      <c r="AL66" s="87"/>
      <c r="AM66" s="87"/>
      <c r="AN66" s="87"/>
      <c r="AO66" s="87"/>
      <c r="AP66" s="87"/>
      <c r="AQ66" s="87"/>
      <c r="BD66" s="1"/>
      <c r="BE66" s="1"/>
      <c r="BI66" s="107">
        <f t="shared" si="10"/>
        <v>113.4</v>
      </c>
      <c r="BJ66" s="134">
        <f t="shared" si="11"/>
        <v>115</v>
      </c>
    </row>
    <row r="67" spans="2:62" x14ac:dyDescent="0.2">
      <c r="B67" s="19"/>
      <c r="C67" s="13" t="b">
        <v>0</v>
      </c>
      <c r="D67" s="19" t="s">
        <v>230</v>
      </c>
      <c r="E67" s="19"/>
      <c r="F67" s="38" t="str">
        <f>IF(AND(C67=TRUE,$Q$10=1,$Q$8=1),$Q$9,IF(AND(C67=TRUE,$Q$10=1,$Q$8=2),$Q$9,IF(AND(C67=TRUE,$Q$10=1,$Q$8=4),$Q$9,"")))</f>
        <v/>
      </c>
      <c r="G67" s="43">
        <f>IF(AND(C67=TRUE,$Q$10=1),1,0)</f>
        <v>0</v>
      </c>
      <c r="H67" s="34">
        <v>145</v>
      </c>
      <c r="I67" s="34">
        <f t="shared" si="9"/>
        <v>0</v>
      </c>
      <c r="J67" s="164"/>
      <c r="K67" s="164"/>
      <c r="L67" s="164"/>
      <c r="M67" s="164"/>
      <c r="N67" s="164"/>
      <c r="BD67" s="1"/>
      <c r="BE67" s="1"/>
      <c r="BI67" s="107">
        <f t="shared" si="10"/>
        <v>156.60000000000002</v>
      </c>
      <c r="BJ67" s="134">
        <f t="shared" si="11"/>
        <v>160</v>
      </c>
    </row>
    <row r="68" spans="2:62" x14ac:dyDescent="0.2">
      <c r="B68" s="19"/>
      <c r="C68" s="13" t="b">
        <v>0</v>
      </c>
      <c r="D68" s="19" t="s">
        <v>55</v>
      </c>
      <c r="E68" s="19"/>
      <c r="F68" s="38"/>
      <c r="G68" s="132">
        <f>IF(AND(C68=TRUE,$Q$10&gt;3),1,Q287)</f>
        <v>0</v>
      </c>
      <c r="H68" s="34">
        <v>115</v>
      </c>
      <c r="I68" s="34">
        <f t="shared" si="9"/>
        <v>0</v>
      </c>
      <c r="J68" s="164"/>
      <c r="K68" s="164"/>
      <c r="L68" s="164"/>
      <c r="M68" s="164"/>
      <c r="N68" s="164"/>
      <c r="BD68" s="1"/>
      <c r="BE68" s="1"/>
      <c r="BI68" s="107">
        <f t="shared" si="10"/>
        <v>124.2</v>
      </c>
      <c r="BJ68" s="134">
        <f t="shared" si="11"/>
        <v>125</v>
      </c>
    </row>
    <row r="69" spans="2:62" x14ac:dyDescent="0.2">
      <c r="B69" s="19"/>
      <c r="C69" s="13" t="b">
        <v>0</v>
      </c>
      <c r="D69" s="19" t="s">
        <v>56</v>
      </c>
      <c r="E69" s="19"/>
      <c r="F69" s="38"/>
      <c r="G69" s="43">
        <f>IF(AND(C69=TRUE,$Q$10&gt;2,$G$68&lt;1),1,0)</f>
        <v>0</v>
      </c>
      <c r="H69" s="34">
        <v>30</v>
      </c>
      <c r="I69" s="34">
        <f t="shared" si="9"/>
        <v>0</v>
      </c>
      <c r="J69" s="164"/>
      <c r="K69" s="164"/>
      <c r="L69" s="164"/>
      <c r="M69" s="164"/>
      <c r="N69" s="164"/>
      <c r="BD69" s="1"/>
      <c r="BE69" s="1"/>
      <c r="BI69" s="107">
        <f t="shared" si="10"/>
        <v>32.400000000000006</v>
      </c>
      <c r="BJ69" s="134">
        <f t="shared" si="11"/>
        <v>35</v>
      </c>
    </row>
    <row r="70" spans="2:62" x14ac:dyDescent="0.2">
      <c r="B70" s="19"/>
      <c r="C70" s="13" t="b">
        <v>0</v>
      </c>
      <c r="D70" s="19" t="s">
        <v>177</v>
      </c>
      <c r="E70" s="19"/>
      <c r="F70" s="38"/>
      <c r="G70" s="132">
        <f>IF(AND(C70=TRUE,$Q$10&gt;3,$G$68&lt;1),1,0)</f>
        <v>0</v>
      </c>
      <c r="H70" s="34">
        <v>75</v>
      </c>
      <c r="I70" s="34">
        <f t="shared" si="9"/>
        <v>0</v>
      </c>
      <c r="J70" s="164"/>
      <c r="K70" s="164"/>
      <c r="L70" s="164"/>
      <c r="M70" s="164"/>
      <c r="N70" s="164"/>
      <c r="BI70" s="107">
        <f t="shared" si="10"/>
        <v>81</v>
      </c>
      <c r="BJ70" s="134">
        <f t="shared" si="11"/>
        <v>85</v>
      </c>
    </row>
    <row r="71" spans="2:62" x14ac:dyDescent="0.2">
      <c r="B71" s="19"/>
      <c r="C71" s="13" t="b">
        <v>1</v>
      </c>
      <c r="D71" s="19" t="s">
        <v>51</v>
      </c>
      <c r="E71" s="19"/>
      <c r="F71" s="38"/>
      <c r="G71" s="43">
        <f>SUM(G64:G66)</f>
        <v>0</v>
      </c>
      <c r="H71" s="34">
        <v>5</v>
      </c>
      <c r="I71" s="34">
        <f t="shared" si="9"/>
        <v>0</v>
      </c>
      <c r="J71" s="164"/>
      <c r="K71" s="164"/>
      <c r="L71" s="164"/>
      <c r="M71" s="164"/>
      <c r="N71" s="164"/>
      <c r="BI71" s="107">
        <f t="shared" si="10"/>
        <v>5.4</v>
      </c>
      <c r="BJ71" s="134">
        <v>4</v>
      </c>
    </row>
    <row r="72" spans="2:62" x14ac:dyDescent="0.2">
      <c r="B72" s="19"/>
      <c r="C72" s="13" t="b">
        <v>1</v>
      </c>
      <c r="D72" s="19" t="s">
        <v>49</v>
      </c>
      <c r="E72" s="19"/>
      <c r="F72" s="38"/>
      <c r="G72" s="43">
        <f>SUM(G64:G66)</f>
        <v>0</v>
      </c>
      <c r="H72" s="34">
        <v>10</v>
      </c>
      <c r="I72" s="34">
        <f t="shared" si="9"/>
        <v>0</v>
      </c>
      <c r="J72" s="164"/>
      <c r="K72" s="164"/>
      <c r="L72" s="164"/>
      <c r="M72" s="164"/>
      <c r="N72" s="164"/>
      <c r="BI72" s="107">
        <f t="shared" si="10"/>
        <v>10.8</v>
      </c>
      <c r="BJ72" s="134">
        <v>10</v>
      </c>
    </row>
    <row r="73" spans="2:62" ht="5.0999999999999996" customHeight="1" x14ac:dyDescent="0.2">
      <c r="B73" s="167"/>
      <c r="C73" s="168"/>
      <c r="D73" s="168"/>
      <c r="E73" s="168"/>
      <c r="F73" s="168"/>
      <c r="G73" s="168"/>
      <c r="H73" s="168"/>
      <c r="I73" s="168"/>
      <c r="J73" s="168"/>
      <c r="K73" s="168"/>
      <c r="L73" s="168"/>
      <c r="M73" s="168"/>
      <c r="N73" s="168"/>
    </row>
    <row r="74" spans="2:62" x14ac:dyDescent="0.2">
      <c r="B74" s="112" t="s">
        <v>235</v>
      </c>
      <c r="C74" s="112"/>
      <c r="D74" s="113"/>
      <c r="E74" s="113"/>
      <c r="F74" s="112"/>
      <c r="G74" s="24" t="s">
        <v>50</v>
      </c>
      <c r="H74" s="24" t="s">
        <v>43</v>
      </c>
      <c r="I74" s="24" t="s">
        <v>227</v>
      </c>
      <c r="J74" s="24"/>
      <c r="K74" s="22"/>
      <c r="L74" s="22"/>
      <c r="M74" s="25" t="s">
        <v>143</v>
      </c>
      <c r="N74" s="37">
        <f>SUM(I75:I80)</f>
        <v>0</v>
      </c>
      <c r="Q74" s="94" t="s">
        <v>198</v>
      </c>
      <c r="R74" s="94" t="s">
        <v>196</v>
      </c>
      <c r="S74" s="94" t="s">
        <v>197</v>
      </c>
    </row>
    <row r="75" spans="2:62" ht="13.7" customHeight="1" x14ac:dyDescent="0.2">
      <c r="B75" s="109"/>
      <c r="C75" s="115" t="b">
        <v>0</v>
      </c>
      <c r="D75" s="109" t="s">
        <v>190</v>
      </c>
      <c r="E75" s="109"/>
      <c r="F75" s="116"/>
      <c r="G75" s="130">
        <f t="shared" ref="G75:G80" si="12">IF(C75=TRUE,1,0)</f>
        <v>0</v>
      </c>
      <c r="H75" s="42">
        <v>95</v>
      </c>
      <c r="I75" s="42">
        <f t="shared" ref="I75:I80" si="13">G75*H75</f>
        <v>0</v>
      </c>
      <c r="J75" s="163" t="s">
        <v>239</v>
      </c>
      <c r="K75" s="163"/>
      <c r="L75" s="163"/>
      <c r="M75" s="163"/>
      <c r="N75" s="163"/>
      <c r="Q75" s="95">
        <v>0</v>
      </c>
      <c r="R75" s="67">
        <v>7.69</v>
      </c>
      <c r="S75" s="67">
        <f t="shared" ref="S75:S80" si="14">Q75*R75</f>
        <v>0</v>
      </c>
      <c r="BI75" s="107">
        <f t="shared" ref="BI75:BI80" si="15">H75*$BI$2</f>
        <v>102.60000000000001</v>
      </c>
      <c r="BJ75" s="134">
        <f t="shared" ref="BJ75:BJ80" si="16">CEILING(BI75, 5)</f>
        <v>105</v>
      </c>
    </row>
    <row r="76" spans="2:62" x14ac:dyDescent="0.2">
      <c r="B76" s="19"/>
      <c r="C76" s="13" t="b">
        <v>0</v>
      </c>
      <c r="D76" s="19" t="s">
        <v>188</v>
      </c>
      <c r="E76" s="19"/>
      <c r="F76" s="38"/>
      <c r="G76" s="131">
        <f t="shared" si="12"/>
        <v>0</v>
      </c>
      <c r="H76" s="34">
        <v>85</v>
      </c>
      <c r="I76" s="34">
        <f t="shared" si="13"/>
        <v>0</v>
      </c>
      <c r="J76" s="164"/>
      <c r="K76" s="164"/>
      <c r="L76" s="164"/>
      <c r="M76" s="164"/>
      <c r="N76" s="164"/>
      <c r="Q76" s="95">
        <v>1</v>
      </c>
      <c r="R76" s="67">
        <v>7.69</v>
      </c>
      <c r="S76" s="67">
        <f t="shared" si="14"/>
        <v>7.69</v>
      </c>
      <c r="BI76" s="107">
        <f t="shared" si="15"/>
        <v>91.800000000000011</v>
      </c>
      <c r="BJ76" s="134">
        <f t="shared" si="16"/>
        <v>95</v>
      </c>
    </row>
    <row r="77" spans="2:62" x14ac:dyDescent="0.2">
      <c r="B77" s="19"/>
      <c r="C77" s="13" t="b">
        <v>0</v>
      </c>
      <c r="D77" s="19" t="s">
        <v>189</v>
      </c>
      <c r="E77" s="19"/>
      <c r="F77" s="38"/>
      <c r="G77" s="131">
        <f t="shared" si="12"/>
        <v>0</v>
      </c>
      <c r="H77" s="34">
        <v>65</v>
      </c>
      <c r="I77" s="34">
        <f t="shared" si="13"/>
        <v>0</v>
      </c>
      <c r="J77" s="164"/>
      <c r="K77" s="164"/>
      <c r="L77" s="164"/>
      <c r="M77" s="164"/>
      <c r="N77" s="164"/>
      <c r="Q77" s="95">
        <v>1</v>
      </c>
      <c r="R77" s="67">
        <v>7.69</v>
      </c>
      <c r="S77" s="67">
        <f t="shared" si="14"/>
        <v>7.69</v>
      </c>
      <c r="BI77" s="107">
        <f t="shared" si="15"/>
        <v>70.2</v>
      </c>
      <c r="BJ77" s="134">
        <f t="shared" si="16"/>
        <v>75</v>
      </c>
    </row>
    <row r="78" spans="2:62" x14ac:dyDescent="0.2">
      <c r="B78" s="17"/>
      <c r="C78" s="13" t="b">
        <v>0</v>
      </c>
      <c r="D78" s="19" t="s">
        <v>57</v>
      </c>
      <c r="E78" s="19"/>
      <c r="F78" s="38"/>
      <c r="G78" s="131">
        <f t="shared" si="12"/>
        <v>0</v>
      </c>
      <c r="H78" s="34">
        <v>50</v>
      </c>
      <c r="I78" s="34">
        <f t="shared" si="13"/>
        <v>0</v>
      </c>
      <c r="J78" s="164"/>
      <c r="K78" s="164"/>
      <c r="L78" s="164"/>
      <c r="M78" s="164"/>
      <c r="N78" s="164"/>
      <c r="Q78" s="95">
        <v>1</v>
      </c>
      <c r="R78" s="67">
        <v>7.69</v>
      </c>
      <c r="S78" s="67">
        <f t="shared" si="14"/>
        <v>7.69</v>
      </c>
      <c r="BI78" s="107">
        <f t="shared" si="15"/>
        <v>54</v>
      </c>
      <c r="BJ78" s="134">
        <f t="shared" si="16"/>
        <v>55</v>
      </c>
    </row>
    <row r="79" spans="2:62" x14ac:dyDescent="0.2">
      <c r="B79" s="19"/>
      <c r="C79" s="13" t="b">
        <v>0</v>
      </c>
      <c r="D79" s="19" t="s">
        <v>58</v>
      </c>
      <c r="E79" s="19"/>
      <c r="F79" s="38"/>
      <c r="G79" s="131">
        <f t="shared" si="12"/>
        <v>0</v>
      </c>
      <c r="H79" s="34">
        <v>150</v>
      </c>
      <c r="I79" s="34">
        <f t="shared" si="13"/>
        <v>0</v>
      </c>
      <c r="J79" s="164"/>
      <c r="K79" s="164"/>
      <c r="L79" s="164"/>
      <c r="M79" s="164"/>
      <c r="N79" s="164"/>
      <c r="Q79" s="95"/>
      <c r="R79" s="67">
        <v>7.69</v>
      </c>
      <c r="S79" s="67">
        <f t="shared" si="14"/>
        <v>0</v>
      </c>
      <c r="BI79" s="107">
        <f t="shared" si="15"/>
        <v>162</v>
      </c>
      <c r="BJ79" s="134">
        <f t="shared" si="16"/>
        <v>165</v>
      </c>
    </row>
    <row r="80" spans="2:62" x14ac:dyDescent="0.2">
      <c r="B80" s="19"/>
      <c r="C80" s="13" t="b">
        <v>0</v>
      </c>
      <c r="D80" s="19" t="s">
        <v>191</v>
      </c>
      <c r="E80" s="19"/>
      <c r="F80" s="38"/>
      <c r="G80" s="131">
        <f t="shared" si="12"/>
        <v>0</v>
      </c>
      <c r="H80" s="34">
        <v>65</v>
      </c>
      <c r="I80" s="34">
        <f t="shared" si="13"/>
        <v>0</v>
      </c>
      <c r="J80" s="164"/>
      <c r="K80" s="164"/>
      <c r="L80" s="164"/>
      <c r="M80" s="164"/>
      <c r="N80" s="164"/>
      <c r="Q80" s="95">
        <v>1</v>
      </c>
      <c r="R80" s="67">
        <v>7.69</v>
      </c>
      <c r="S80" s="67">
        <f t="shared" si="14"/>
        <v>7.69</v>
      </c>
      <c r="BI80" s="107">
        <f t="shared" si="15"/>
        <v>70.2</v>
      </c>
      <c r="BJ80" s="134">
        <f t="shared" si="16"/>
        <v>75</v>
      </c>
    </row>
    <row r="81" spans="2:63" ht="5.0999999999999996" customHeight="1" x14ac:dyDescent="0.2">
      <c r="F81" s="83"/>
      <c r="G81" s="55"/>
      <c r="H81" s="33"/>
      <c r="I81" s="33"/>
      <c r="J81" s="33"/>
      <c r="K81" s="191"/>
      <c r="L81" s="191"/>
      <c r="M81" s="191"/>
      <c r="N81" s="191"/>
    </row>
    <row r="82" spans="2:63" x14ac:dyDescent="0.2">
      <c r="B82" s="112" t="s">
        <v>236</v>
      </c>
      <c r="C82" s="113"/>
      <c r="D82" s="113"/>
      <c r="E82" s="113"/>
      <c r="F82" s="119"/>
      <c r="G82" s="81" t="s">
        <v>50</v>
      </c>
      <c r="H82" s="82" t="s">
        <v>43</v>
      </c>
      <c r="I82" s="108" t="s">
        <v>227</v>
      </c>
      <c r="J82" s="82"/>
      <c r="K82" s="57"/>
      <c r="L82" s="57"/>
      <c r="M82" s="58" t="s">
        <v>143</v>
      </c>
      <c r="N82" s="59">
        <f>SUM(I83:I89)</f>
        <v>0</v>
      </c>
    </row>
    <row r="83" spans="2:63" ht="12.75" customHeight="1" x14ac:dyDescent="0.2">
      <c r="B83" s="109"/>
      <c r="C83" s="115" t="b">
        <v>0</v>
      </c>
      <c r="D83" s="109" t="s">
        <v>192</v>
      </c>
      <c r="E83" s="109"/>
      <c r="F83" s="118" t="s">
        <v>194</v>
      </c>
      <c r="G83" s="41">
        <f>IF(C83=TRUE,$I$7,0)</f>
        <v>0</v>
      </c>
      <c r="H83" s="64" t="s">
        <v>195</v>
      </c>
      <c r="I83" s="64">
        <f>IF(C83=TRUE,"Included",0)</f>
        <v>0</v>
      </c>
      <c r="J83" s="163" t="s">
        <v>245</v>
      </c>
      <c r="K83" s="163"/>
      <c r="L83" s="163"/>
      <c r="M83" s="163"/>
      <c r="N83" s="163"/>
    </row>
    <row r="84" spans="2:63" x14ac:dyDescent="0.2">
      <c r="B84" s="19"/>
      <c r="C84" s="13" t="b">
        <v>0</v>
      </c>
      <c r="D84" s="19" t="s">
        <v>199</v>
      </c>
      <c r="E84" s="19"/>
      <c r="F84" s="56" t="s">
        <v>194</v>
      </c>
      <c r="G84" s="39">
        <f>IF(C84=TRUE,$I$7,0)</f>
        <v>0</v>
      </c>
      <c r="H84" s="34">
        <v>7</v>
      </c>
      <c r="I84" s="34">
        <f t="shared" ref="I84:I89" si="17">G84*H84</f>
        <v>0</v>
      </c>
      <c r="J84" s="164"/>
      <c r="K84" s="164"/>
      <c r="L84" s="164"/>
      <c r="M84" s="164"/>
      <c r="N84" s="164"/>
      <c r="BI84" s="107">
        <f t="shared" ref="BI84:BI89" si="18">H84*$BI$2</f>
        <v>7.5600000000000005</v>
      </c>
      <c r="BJ84" s="134">
        <v>6.5</v>
      </c>
    </row>
    <row r="85" spans="2:63" x14ac:dyDescent="0.2">
      <c r="B85" s="19"/>
      <c r="C85" s="13" t="b">
        <v>0</v>
      </c>
      <c r="D85" s="19" t="s">
        <v>200</v>
      </c>
      <c r="E85" s="19"/>
      <c r="F85" s="56" t="s">
        <v>194</v>
      </c>
      <c r="G85" s="39">
        <f>IF(C85=TRUE,$I$7,0)</f>
        <v>0</v>
      </c>
      <c r="H85" s="34">
        <v>12.5</v>
      </c>
      <c r="I85" s="34">
        <f t="shared" si="17"/>
        <v>0</v>
      </c>
      <c r="J85" s="164"/>
      <c r="K85" s="164"/>
      <c r="L85" s="164"/>
      <c r="M85" s="164"/>
      <c r="N85" s="164"/>
      <c r="BI85" s="107">
        <f t="shared" si="18"/>
        <v>13.5</v>
      </c>
      <c r="BJ85" s="134">
        <v>11.5</v>
      </c>
    </row>
    <row r="86" spans="2:63" x14ac:dyDescent="0.2">
      <c r="B86" s="19"/>
      <c r="C86" s="13" t="b">
        <v>0</v>
      </c>
      <c r="D86" s="19" t="s">
        <v>201</v>
      </c>
      <c r="E86" s="19"/>
      <c r="F86" s="56" t="s">
        <v>193</v>
      </c>
      <c r="G86" s="39">
        <f>IF(C86=TRUE,1,0)</f>
        <v>0</v>
      </c>
      <c r="H86" s="34">
        <v>120</v>
      </c>
      <c r="I86" s="34">
        <f t="shared" si="17"/>
        <v>0</v>
      </c>
      <c r="J86" s="164"/>
      <c r="K86" s="164"/>
      <c r="L86" s="164"/>
      <c r="M86" s="164"/>
      <c r="N86" s="164"/>
      <c r="BI86" s="107">
        <f t="shared" si="18"/>
        <v>129.60000000000002</v>
      </c>
      <c r="BJ86" s="134">
        <v>110</v>
      </c>
    </row>
    <row r="87" spans="2:63" x14ac:dyDescent="0.2">
      <c r="B87" s="19"/>
      <c r="C87" s="13" t="b">
        <v>0</v>
      </c>
      <c r="D87" s="19" t="s">
        <v>266</v>
      </c>
      <c r="E87" s="19"/>
      <c r="F87" s="56" t="s">
        <v>194</v>
      </c>
      <c r="G87" s="39">
        <f>IF(AND(C87=TRUE,$I$7&lt;25),$I$7,0)</f>
        <v>0</v>
      </c>
      <c r="H87" s="34">
        <v>12.5</v>
      </c>
      <c r="I87" s="34">
        <f t="shared" si="17"/>
        <v>0</v>
      </c>
      <c r="J87" s="164"/>
      <c r="K87" s="164"/>
      <c r="L87" s="164"/>
      <c r="M87" s="164"/>
      <c r="N87" s="164"/>
      <c r="BI87" s="107">
        <f t="shared" si="18"/>
        <v>13.5</v>
      </c>
      <c r="BJ87" s="134">
        <v>11.5</v>
      </c>
      <c r="BK87" s="138"/>
    </row>
    <row r="88" spans="2:63" x14ac:dyDescent="0.2">
      <c r="B88" s="19"/>
      <c r="C88" s="13" t="b">
        <v>0</v>
      </c>
      <c r="D88" s="19" t="s">
        <v>267</v>
      </c>
      <c r="E88" s="19"/>
      <c r="F88" s="56" t="s">
        <v>194</v>
      </c>
      <c r="G88" s="39">
        <f>IF(AND(C88=TRUE,$I$7&gt;24),$I$7,0)</f>
        <v>0</v>
      </c>
      <c r="H88" s="34">
        <v>16</v>
      </c>
      <c r="I88" s="34">
        <f t="shared" si="17"/>
        <v>0</v>
      </c>
      <c r="J88" s="164"/>
      <c r="K88" s="164"/>
      <c r="L88" s="164"/>
      <c r="M88" s="164"/>
      <c r="N88" s="164"/>
    </row>
    <row r="89" spans="2:63" x14ac:dyDescent="0.2">
      <c r="B89" s="19"/>
      <c r="C89" s="13" t="b">
        <v>0</v>
      </c>
      <c r="D89" s="19" t="s">
        <v>268</v>
      </c>
      <c r="E89" s="19"/>
      <c r="F89" s="56" t="s">
        <v>194</v>
      </c>
      <c r="G89" s="39">
        <f>IF(C89=TRUE,$I$7,0)</f>
        <v>0</v>
      </c>
      <c r="H89" s="34">
        <v>45</v>
      </c>
      <c r="I89" s="34">
        <f t="shared" si="17"/>
        <v>0</v>
      </c>
      <c r="J89" s="164"/>
      <c r="K89" s="164"/>
      <c r="L89" s="164"/>
      <c r="M89" s="164"/>
      <c r="N89" s="164"/>
      <c r="BI89" s="107">
        <f t="shared" si="18"/>
        <v>48.6</v>
      </c>
      <c r="BJ89" s="134">
        <v>40</v>
      </c>
    </row>
    <row r="90" spans="2:63" ht="5.0999999999999996" customHeight="1" x14ac:dyDescent="0.2">
      <c r="F90" s="66"/>
      <c r="G90" s="55"/>
      <c r="H90" s="33"/>
      <c r="I90" s="33"/>
      <c r="J90" s="164"/>
      <c r="K90" s="164"/>
      <c r="L90" s="164"/>
      <c r="M90" s="164"/>
      <c r="N90" s="164"/>
    </row>
    <row r="91" spans="2:63" ht="9.9499999999999993" customHeight="1" x14ac:dyDescent="0.2">
      <c r="B91" s="166" t="s">
        <v>205</v>
      </c>
      <c r="C91" s="166"/>
      <c r="D91" s="166"/>
      <c r="E91" s="166"/>
      <c r="F91" s="166"/>
      <c r="G91" s="166"/>
      <c r="H91" s="166"/>
      <c r="I91" s="166"/>
      <c r="J91" s="166"/>
      <c r="K91" s="165" t="s">
        <v>243</v>
      </c>
      <c r="L91" s="165"/>
      <c r="M91" s="165"/>
      <c r="N91" s="165"/>
    </row>
    <row r="92" spans="2:63" ht="18" customHeight="1" x14ac:dyDescent="0.2">
      <c r="B92" s="166" t="s">
        <v>15</v>
      </c>
      <c r="C92" s="166"/>
      <c r="D92" s="166"/>
      <c r="E92" s="166"/>
      <c r="F92" s="166"/>
      <c r="G92" s="166"/>
      <c r="H92" s="166"/>
      <c r="I92" s="166"/>
      <c r="J92" s="166"/>
      <c r="K92" s="165"/>
      <c r="L92" s="165"/>
      <c r="M92" s="165"/>
      <c r="N92" s="165"/>
    </row>
    <row r="93" spans="2:63" ht="18" customHeight="1" x14ac:dyDescent="0.2">
      <c r="B93" s="166" t="s">
        <v>202</v>
      </c>
      <c r="C93" s="166"/>
      <c r="D93" s="166"/>
      <c r="E93" s="166"/>
      <c r="F93" s="166"/>
      <c r="G93" s="166"/>
      <c r="H93" s="166"/>
      <c r="I93" s="166"/>
      <c r="J93" s="166"/>
      <c r="K93" s="165"/>
      <c r="L93" s="165"/>
      <c r="M93" s="165"/>
      <c r="N93" s="165"/>
    </row>
    <row r="94" spans="2:63" ht="9.9499999999999993" customHeight="1" x14ac:dyDescent="0.2">
      <c r="B94" s="166" t="s">
        <v>203</v>
      </c>
      <c r="C94" s="166"/>
      <c r="D94" s="166"/>
      <c r="E94" s="166"/>
      <c r="F94" s="166"/>
      <c r="G94" s="166"/>
      <c r="H94" s="166"/>
      <c r="I94" s="166"/>
      <c r="J94" s="166"/>
      <c r="K94" s="165"/>
      <c r="L94" s="165"/>
      <c r="M94" s="165"/>
      <c r="N94" s="165"/>
    </row>
    <row r="95" spans="2:63" ht="9.9499999999999993" customHeight="1" x14ac:dyDescent="0.2">
      <c r="B95" s="166" t="s">
        <v>204</v>
      </c>
      <c r="C95" s="166"/>
      <c r="D95" s="166"/>
      <c r="E95" s="166"/>
      <c r="F95" s="166"/>
      <c r="G95" s="166"/>
      <c r="H95" s="166"/>
      <c r="I95" s="166"/>
      <c r="J95" s="166"/>
      <c r="K95" s="165"/>
      <c r="L95" s="165"/>
      <c r="M95" s="165"/>
      <c r="N95" s="165"/>
    </row>
    <row r="96" spans="2:63" ht="27.95" customHeight="1" x14ac:dyDescent="0.2">
      <c r="B96" s="166" t="s">
        <v>224</v>
      </c>
      <c r="C96" s="166"/>
      <c r="D96" s="166"/>
      <c r="E96" s="166"/>
      <c r="F96" s="166"/>
      <c r="G96" s="166"/>
      <c r="H96" s="166"/>
      <c r="I96" s="166"/>
      <c r="J96" s="166"/>
      <c r="K96" s="165"/>
      <c r="L96" s="165"/>
      <c r="M96" s="165"/>
      <c r="N96" s="165"/>
    </row>
    <row r="97" spans="1:14" ht="12" customHeight="1" x14ac:dyDescent="0.2">
      <c r="B97" s="27"/>
      <c r="C97" s="27"/>
      <c r="D97" s="27"/>
      <c r="E97" s="27"/>
      <c r="F97" s="27"/>
      <c r="G97" s="27"/>
      <c r="H97" s="27"/>
      <c r="I97" s="27"/>
      <c r="J97" s="27"/>
      <c r="K97" s="186" t="s">
        <v>142</v>
      </c>
      <c r="L97" s="186"/>
      <c r="M97" s="186"/>
      <c r="N97" s="33">
        <f>N18+N32+N37+N45+N52+N63+N74+N82+N56</f>
        <v>0</v>
      </c>
    </row>
    <row r="98" spans="1:14" ht="12" customHeight="1" x14ac:dyDescent="0.2">
      <c r="B98" s="151" t="s">
        <v>82</v>
      </c>
      <c r="C98" s="151"/>
      <c r="D98" s="151"/>
      <c r="E98" s="151"/>
      <c r="F98" s="151"/>
      <c r="G98" s="151"/>
      <c r="H98" s="151"/>
      <c r="I98" s="151"/>
      <c r="J98" s="151"/>
      <c r="K98" s="187" t="s">
        <v>144</v>
      </c>
      <c r="L98" s="187"/>
      <c r="M98" s="187"/>
      <c r="N98" s="85">
        <v>0</v>
      </c>
    </row>
    <row r="99" spans="1:14" ht="12" customHeight="1" x14ac:dyDescent="0.2">
      <c r="B99" s="152"/>
      <c r="C99" s="153"/>
      <c r="D99" s="153"/>
      <c r="E99" s="153"/>
      <c r="F99" s="153"/>
      <c r="G99" s="153"/>
      <c r="H99" s="153"/>
      <c r="I99" s="153"/>
      <c r="J99" s="153"/>
      <c r="K99" s="186" t="s">
        <v>81</v>
      </c>
      <c r="L99" s="186"/>
      <c r="M99" s="186"/>
      <c r="N99" s="33">
        <f>N97+N98</f>
        <v>0</v>
      </c>
    </row>
    <row r="100" spans="1:14" ht="12" customHeight="1" x14ac:dyDescent="0.2">
      <c r="A100" s="107"/>
      <c r="B100" s="152"/>
      <c r="C100" s="153"/>
      <c r="D100" s="153"/>
      <c r="E100" s="153"/>
      <c r="F100" s="153"/>
      <c r="G100" s="153"/>
      <c r="H100" s="153"/>
      <c r="I100" s="153"/>
      <c r="J100" s="153"/>
      <c r="K100" s="186" t="s">
        <v>146</v>
      </c>
      <c r="L100" s="186"/>
      <c r="M100" s="186"/>
      <c r="N100" s="33">
        <f>N99*0.13</f>
        <v>0</v>
      </c>
    </row>
    <row r="101" spans="1:14" ht="12" customHeight="1" thickBot="1" x14ac:dyDescent="0.25">
      <c r="B101" s="152"/>
      <c r="C101" s="153"/>
      <c r="D101" s="153"/>
      <c r="E101" s="153"/>
      <c r="F101" s="153"/>
      <c r="G101" s="153"/>
      <c r="H101" s="153"/>
      <c r="I101" s="153"/>
      <c r="J101" s="153"/>
      <c r="K101" s="189" t="s">
        <v>145</v>
      </c>
      <c r="L101" s="186"/>
      <c r="M101" s="186"/>
      <c r="N101" s="44">
        <f>SUM(N99:N100)</f>
        <v>0</v>
      </c>
    </row>
    <row r="102" spans="1:14" ht="16.5" customHeight="1" x14ac:dyDescent="0.2">
      <c r="B102" s="188"/>
      <c r="C102" s="188"/>
      <c r="D102" s="188"/>
      <c r="E102" s="188"/>
      <c r="F102" s="188"/>
      <c r="G102" s="6"/>
      <c r="H102" s="190" t="s">
        <v>27</v>
      </c>
      <c r="I102" s="190"/>
      <c r="J102" s="190"/>
      <c r="K102" s="190"/>
      <c r="L102" s="6"/>
      <c r="M102" s="188"/>
      <c r="N102" s="188"/>
    </row>
    <row r="103" spans="1:14" x14ac:dyDescent="0.2">
      <c r="B103" s="185" t="s">
        <v>24</v>
      </c>
      <c r="C103" s="185"/>
      <c r="D103" s="185"/>
      <c r="E103" s="185"/>
      <c r="F103" s="185"/>
      <c r="G103" s="6"/>
      <c r="H103" s="185" t="s">
        <v>25</v>
      </c>
      <c r="I103" s="185"/>
      <c r="J103" s="185"/>
      <c r="K103" s="185"/>
      <c r="L103" s="6"/>
      <c r="M103" s="185" t="s">
        <v>26</v>
      </c>
      <c r="N103" s="185"/>
    </row>
    <row r="104" spans="1:14" ht="7.5" customHeight="1" x14ac:dyDescent="0.2"/>
    <row r="105" spans="1:14" ht="12.75" customHeight="1" x14ac:dyDescent="0.2">
      <c r="B105" s="201" t="s">
        <v>0</v>
      </c>
      <c r="C105" s="201"/>
      <c r="D105" s="201"/>
      <c r="E105" s="201"/>
      <c r="F105" s="201"/>
      <c r="G105" s="201"/>
      <c r="H105" s="201"/>
      <c r="I105" s="201"/>
      <c r="J105" s="201"/>
      <c r="K105" s="201"/>
      <c r="L105" s="201"/>
      <c r="M105" s="201"/>
      <c r="N105" s="201"/>
    </row>
    <row r="106" spans="1:14" ht="43.5" customHeight="1" x14ac:dyDescent="0.2">
      <c r="B106" s="201"/>
      <c r="C106" s="201"/>
      <c r="D106" s="201"/>
      <c r="E106" s="201"/>
      <c r="F106" s="201"/>
      <c r="G106" s="201"/>
      <c r="H106" s="201"/>
      <c r="I106" s="201"/>
      <c r="J106" s="201"/>
      <c r="K106" s="201"/>
      <c r="L106" s="201"/>
      <c r="M106" s="201"/>
      <c r="N106" s="201"/>
    </row>
    <row r="107" spans="1:14" ht="12.75" customHeight="1" x14ac:dyDescent="0.2"/>
    <row r="108" spans="1:14" ht="12.75" customHeight="1" x14ac:dyDescent="0.2">
      <c r="B108" s="202" t="s">
        <v>19</v>
      </c>
      <c r="C108" s="202"/>
      <c r="D108" s="202"/>
      <c r="E108" s="202"/>
      <c r="F108" s="202"/>
      <c r="G108" s="202"/>
      <c r="H108" s="202"/>
      <c r="I108" s="202"/>
      <c r="J108" s="202"/>
      <c r="K108" s="202"/>
      <c r="L108" s="202"/>
      <c r="M108" s="202"/>
      <c r="N108" s="202"/>
    </row>
    <row r="109" spans="1:14" ht="12.75" customHeight="1" x14ac:dyDescent="0.2"/>
    <row r="110" spans="1:14" ht="12" customHeight="1" x14ac:dyDescent="0.2">
      <c r="B110" s="203" t="s">
        <v>1</v>
      </c>
      <c r="C110" s="203"/>
      <c r="D110" s="203"/>
      <c r="E110" s="203"/>
      <c r="F110" s="203"/>
      <c r="G110" s="203"/>
      <c r="H110" s="203"/>
      <c r="I110" s="203"/>
      <c r="J110" s="203"/>
      <c r="K110" s="203"/>
      <c r="L110" s="203"/>
      <c r="M110" s="203"/>
      <c r="N110" s="203"/>
    </row>
    <row r="111" spans="1:14" ht="23.25" customHeight="1" x14ac:dyDescent="0.2">
      <c r="B111" s="198" t="s">
        <v>208</v>
      </c>
      <c r="C111" s="198"/>
      <c r="D111" s="198"/>
      <c r="E111" s="198"/>
      <c r="F111" s="198"/>
      <c r="G111" s="198"/>
      <c r="H111" s="198"/>
      <c r="I111" s="198"/>
      <c r="J111" s="198"/>
      <c r="K111" s="198"/>
      <c r="L111" s="198"/>
      <c r="M111" s="198"/>
      <c r="N111" s="198"/>
    </row>
    <row r="112" spans="1:14" ht="36" customHeight="1" x14ac:dyDescent="0.2">
      <c r="B112" s="198" t="s">
        <v>256</v>
      </c>
      <c r="C112" s="198"/>
      <c r="D112" s="198"/>
      <c r="E112" s="198"/>
      <c r="F112" s="198"/>
      <c r="G112" s="198"/>
      <c r="H112" s="198"/>
      <c r="I112" s="198"/>
      <c r="J112" s="198"/>
      <c r="K112" s="198"/>
      <c r="L112" s="198"/>
      <c r="M112" s="198"/>
      <c r="N112" s="198"/>
    </row>
    <row r="113" spans="2:14" ht="14.25" customHeight="1" x14ac:dyDescent="0.2">
      <c r="B113" s="198" t="s">
        <v>248</v>
      </c>
      <c r="C113" s="198"/>
      <c r="D113" s="198"/>
      <c r="E113" s="198"/>
      <c r="F113" s="198"/>
      <c r="G113" s="198"/>
      <c r="H113" s="198"/>
      <c r="I113" s="198"/>
      <c r="J113" s="198"/>
      <c r="K113" s="198"/>
      <c r="L113" s="198"/>
      <c r="M113" s="198"/>
      <c r="N113" s="198"/>
    </row>
    <row r="114" spans="2:14" ht="87.75" customHeight="1" x14ac:dyDescent="0.2">
      <c r="B114" s="198" t="s">
        <v>3</v>
      </c>
      <c r="C114" s="198"/>
      <c r="D114" s="198"/>
      <c r="E114" s="198"/>
      <c r="F114" s="198"/>
      <c r="G114" s="198"/>
      <c r="H114" s="198"/>
      <c r="I114" s="198"/>
      <c r="J114" s="198"/>
      <c r="K114" s="198"/>
      <c r="L114" s="198"/>
      <c r="M114" s="198"/>
      <c r="N114" s="198"/>
    </row>
    <row r="115" spans="2:14" ht="56.25" customHeight="1" x14ac:dyDescent="0.2">
      <c r="B115" s="198" t="s">
        <v>270</v>
      </c>
      <c r="C115" s="198"/>
      <c r="D115" s="198"/>
      <c r="E115" s="198"/>
      <c r="F115" s="198"/>
      <c r="G115" s="198"/>
      <c r="H115" s="198"/>
      <c r="I115" s="198"/>
      <c r="J115" s="198"/>
      <c r="K115" s="198"/>
      <c r="L115" s="198"/>
      <c r="M115" s="198"/>
      <c r="N115" s="198"/>
    </row>
    <row r="116" spans="2:14" ht="33" customHeight="1" x14ac:dyDescent="0.2">
      <c r="B116" s="198" t="s">
        <v>207</v>
      </c>
      <c r="C116" s="198"/>
      <c r="D116" s="198"/>
      <c r="E116" s="198"/>
      <c r="F116" s="198"/>
      <c r="G116" s="198"/>
      <c r="H116" s="198"/>
      <c r="I116" s="198"/>
      <c r="J116" s="198"/>
      <c r="K116" s="198"/>
      <c r="L116" s="198"/>
      <c r="M116" s="198"/>
      <c r="N116" s="198"/>
    </row>
    <row r="117" spans="2:14" ht="24" customHeight="1" x14ac:dyDescent="0.2">
      <c r="B117" s="199" t="s">
        <v>4</v>
      </c>
      <c r="C117" s="199"/>
      <c r="D117" s="199"/>
      <c r="E117" s="199"/>
      <c r="F117" s="199"/>
      <c r="G117" s="199"/>
      <c r="H117" s="199"/>
      <c r="I117" s="199"/>
      <c r="J117" s="199"/>
      <c r="K117" s="199"/>
      <c r="L117" s="199"/>
      <c r="M117" s="199"/>
      <c r="N117" s="199"/>
    </row>
    <row r="118" spans="2:14" ht="36" customHeight="1" x14ac:dyDescent="0.2">
      <c r="B118" s="198" t="s">
        <v>255</v>
      </c>
      <c r="C118" s="198"/>
      <c r="D118" s="198"/>
      <c r="E118" s="198"/>
      <c r="F118" s="198"/>
      <c r="G118" s="198"/>
      <c r="H118" s="198"/>
      <c r="I118" s="198"/>
      <c r="J118" s="198"/>
      <c r="K118" s="198"/>
      <c r="L118" s="198"/>
      <c r="M118" s="198"/>
      <c r="N118" s="198"/>
    </row>
    <row r="119" spans="2:14" ht="36" customHeight="1" x14ac:dyDescent="0.2">
      <c r="B119" s="198" t="s">
        <v>257</v>
      </c>
      <c r="C119" s="198"/>
      <c r="D119" s="198"/>
      <c r="E119" s="198"/>
      <c r="F119" s="198"/>
      <c r="G119" s="198"/>
      <c r="H119" s="198"/>
      <c r="I119" s="198"/>
      <c r="J119" s="198"/>
      <c r="K119" s="198"/>
      <c r="L119" s="198"/>
      <c r="M119" s="198"/>
      <c r="N119" s="198"/>
    </row>
    <row r="120" spans="2:14" ht="36.950000000000003" customHeight="1" x14ac:dyDescent="0.2">
      <c r="B120" s="198" t="s">
        <v>258</v>
      </c>
      <c r="C120" s="198"/>
      <c r="D120" s="198"/>
      <c r="E120" s="198"/>
      <c r="F120" s="198"/>
      <c r="G120" s="198"/>
      <c r="H120" s="198"/>
      <c r="I120" s="198"/>
      <c r="J120" s="198"/>
      <c r="K120" s="198"/>
      <c r="L120" s="198"/>
      <c r="M120" s="198"/>
      <c r="N120" s="198"/>
    </row>
    <row r="121" spans="2:14" ht="36" customHeight="1" x14ac:dyDescent="0.2">
      <c r="B121" s="198" t="s">
        <v>259</v>
      </c>
      <c r="C121" s="198"/>
      <c r="D121" s="198"/>
      <c r="E121" s="198"/>
      <c r="F121" s="198"/>
      <c r="G121" s="198"/>
      <c r="H121" s="198"/>
      <c r="I121" s="198"/>
      <c r="J121" s="198"/>
      <c r="K121" s="198"/>
      <c r="L121" s="198"/>
      <c r="M121" s="198"/>
      <c r="N121" s="198"/>
    </row>
    <row r="122" spans="2:14" ht="58.7" customHeight="1" x14ac:dyDescent="0.2">
      <c r="B122" s="198" t="s">
        <v>260</v>
      </c>
      <c r="C122" s="198"/>
      <c r="D122" s="198"/>
      <c r="E122" s="198"/>
      <c r="F122" s="198"/>
      <c r="G122" s="198"/>
      <c r="H122" s="198"/>
      <c r="I122" s="198"/>
      <c r="J122" s="198"/>
      <c r="K122" s="198"/>
      <c r="L122" s="198"/>
      <c r="M122" s="198"/>
      <c r="N122" s="198"/>
    </row>
    <row r="123" spans="2:14" ht="24" customHeight="1" x14ac:dyDescent="0.2">
      <c r="B123" s="198" t="s">
        <v>271</v>
      </c>
      <c r="C123" s="200"/>
      <c r="D123" s="200"/>
      <c r="E123" s="200"/>
      <c r="F123" s="200"/>
      <c r="G123" s="200"/>
      <c r="H123" s="200"/>
      <c r="I123" s="200"/>
      <c r="J123" s="200"/>
      <c r="K123" s="200"/>
      <c r="L123" s="200"/>
      <c r="M123" s="200"/>
      <c r="N123" s="200"/>
    </row>
    <row r="124" spans="2:14" ht="12.75" customHeight="1" x14ac:dyDescent="0.2">
      <c r="B124" s="198" t="s">
        <v>261</v>
      </c>
      <c r="C124" s="198"/>
      <c r="D124" s="198"/>
      <c r="E124" s="198"/>
      <c r="F124" s="198"/>
      <c r="G124" s="198"/>
      <c r="H124" s="198"/>
      <c r="I124" s="198"/>
      <c r="J124" s="198"/>
      <c r="K124" s="198"/>
      <c r="L124" s="198"/>
      <c r="M124" s="198"/>
      <c r="N124" s="198"/>
    </row>
    <row r="125" spans="2:14" ht="60" customHeight="1" x14ac:dyDescent="0.2">
      <c r="B125" s="204" t="s">
        <v>262</v>
      </c>
      <c r="C125" s="204"/>
      <c r="D125" s="204"/>
      <c r="E125" s="204"/>
      <c r="F125" s="204"/>
      <c r="G125" s="204"/>
      <c r="H125" s="204"/>
      <c r="I125" s="204"/>
      <c r="J125" s="204"/>
      <c r="K125" s="204"/>
      <c r="L125" s="204"/>
      <c r="M125" s="204"/>
      <c r="N125" s="204"/>
    </row>
    <row r="126" spans="2:14" ht="36" customHeight="1" x14ac:dyDescent="0.2">
      <c r="B126" s="198" t="s">
        <v>263</v>
      </c>
      <c r="C126" s="198"/>
      <c r="D126" s="198"/>
      <c r="E126" s="198"/>
      <c r="F126" s="198"/>
      <c r="G126" s="198"/>
      <c r="H126" s="198"/>
      <c r="I126" s="198"/>
      <c r="J126" s="198"/>
      <c r="K126" s="198"/>
      <c r="L126" s="198"/>
      <c r="M126" s="198"/>
      <c r="N126" s="198"/>
    </row>
    <row r="127" spans="2:14" ht="15" x14ac:dyDescent="0.2">
      <c r="B127" s="197" t="s">
        <v>17</v>
      </c>
      <c r="C127" s="197"/>
      <c r="D127" s="197"/>
      <c r="E127" s="197"/>
      <c r="F127" s="197"/>
      <c r="G127" s="197"/>
      <c r="H127" s="197"/>
      <c r="I127" s="197"/>
      <c r="J127" s="197"/>
      <c r="K127" s="197"/>
      <c r="L127" s="197"/>
      <c r="M127" s="197"/>
      <c r="N127" s="197"/>
    </row>
    <row r="128" spans="2:14" ht="15.6" customHeight="1" x14ac:dyDescent="0.2">
      <c r="B128" s="75" t="s">
        <v>141</v>
      </c>
      <c r="C128" s="75"/>
      <c r="D128" s="76"/>
      <c r="E128" s="220">
        <f>E3</f>
        <v>0</v>
      </c>
      <c r="F128" s="220"/>
      <c r="G128" s="220"/>
      <c r="H128" s="220"/>
      <c r="I128" s="220"/>
      <c r="J128" s="126" t="s">
        <v>60</v>
      </c>
      <c r="K128" s="221">
        <f>E4</f>
        <v>0</v>
      </c>
      <c r="L128" s="221"/>
      <c r="M128" s="221"/>
      <c r="N128" s="221"/>
    </row>
    <row r="129" spans="2:68" ht="15.6" customHeight="1" x14ac:dyDescent="0.2">
      <c r="B129" s="77" t="s">
        <v>63</v>
      </c>
      <c r="C129" s="77"/>
      <c r="D129" s="77"/>
      <c r="E129" s="213">
        <f>I3</f>
        <v>0</v>
      </c>
      <c r="F129" s="213"/>
      <c r="G129" s="213"/>
      <c r="H129" s="213"/>
      <c r="I129" s="213"/>
      <c r="J129" s="213"/>
      <c r="K129" s="213"/>
      <c r="L129" s="213"/>
      <c r="M129" s="213"/>
      <c r="N129" s="213"/>
    </row>
    <row r="130" spans="2:68" ht="15.6" customHeight="1" x14ac:dyDescent="0.2">
      <c r="B130" s="78" t="s">
        <v>61</v>
      </c>
      <c r="C130" s="78"/>
      <c r="D130" s="77"/>
      <c r="E130" s="222"/>
      <c r="F130" s="222"/>
      <c r="G130" s="80" t="s">
        <v>62</v>
      </c>
      <c r="H130" s="210">
        <f>L4</f>
        <v>0</v>
      </c>
      <c r="I130" s="210"/>
      <c r="J130" s="80" t="s">
        <v>64</v>
      </c>
      <c r="K130" s="210">
        <f>I4</f>
        <v>0</v>
      </c>
      <c r="L130" s="210"/>
      <c r="M130" s="210"/>
      <c r="N130" s="210"/>
      <c r="Q130"/>
      <c r="R130"/>
      <c r="S130"/>
      <c r="T130"/>
      <c r="U130"/>
      <c r="V130"/>
      <c r="W130"/>
      <c r="X130"/>
      <c r="Y130"/>
      <c r="Z130"/>
    </row>
    <row r="131" spans="2:68" ht="15.6" customHeight="1" x14ac:dyDescent="0.2">
      <c r="B131" s="80" t="s">
        <v>20</v>
      </c>
      <c r="C131" s="80"/>
      <c r="D131" s="80"/>
      <c r="E131" s="210">
        <f>E7</f>
        <v>0</v>
      </c>
      <c r="F131" s="210"/>
      <c r="G131" s="80" t="s">
        <v>21</v>
      </c>
      <c r="H131" s="210">
        <f>E8</f>
        <v>0</v>
      </c>
      <c r="I131" s="210"/>
      <c r="J131" s="80" t="s">
        <v>67</v>
      </c>
      <c r="K131" s="210">
        <f>E9</f>
        <v>0</v>
      </c>
      <c r="L131" s="210"/>
      <c r="M131" s="210"/>
      <c r="N131" s="210"/>
      <c r="P131"/>
      <c r="Q131"/>
      <c r="R131"/>
      <c r="S131"/>
      <c r="T131"/>
      <c r="U131"/>
      <c r="V131"/>
      <c r="W131"/>
      <c r="X131"/>
      <c r="Y131"/>
      <c r="Z131"/>
    </row>
    <row r="132" spans="2:68" ht="15.6" customHeight="1" x14ac:dyDescent="0.2">
      <c r="B132" s="80" t="s">
        <v>22</v>
      </c>
      <c r="C132" s="80"/>
      <c r="D132" s="80"/>
      <c r="E132" s="210">
        <f>E10</f>
        <v>0</v>
      </c>
      <c r="F132" s="210"/>
      <c r="G132" s="80" t="s">
        <v>23</v>
      </c>
      <c r="H132" s="210">
        <f>E11</f>
        <v>0</v>
      </c>
      <c r="I132" s="210"/>
      <c r="J132" s="80" t="s">
        <v>114</v>
      </c>
      <c r="K132" s="211"/>
      <c r="L132" s="211"/>
      <c r="M132" s="211"/>
      <c r="N132" s="211"/>
      <c r="P132"/>
      <c r="Q132"/>
      <c r="R132"/>
      <c r="S132"/>
      <c r="T132"/>
      <c r="U132"/>
      <c r="V132"/>
      <c r="W132"/>
      <c r="X132"/>
      <c r="Y132"/>
      <c r="Z132"/>
    </row>
    <row r="133" spans="2:68" ht="15.6" customHeight="1" x14ac:dyDescent="0.2">
      <c r="B133" s="143" t="s">
        <v>272</v>
      </c>
      <c r="C133" s="143"/>
      <c r="D133" s="143"/>
      <c r="E133" s="214">
        <f>E13</f>
        <v>0</v>
      </c>
      <c r="F133" s="214"/>
      <c r="G133" s="143" t="s">
        <v>274</v>
      </c>
      <c r="H133" s="214">
        <f>I13</f>
        <v>0</v>
      </c>
      <c r="I133" s="214"/>
      <c r="J133" s="143" t="s">
        <v>315</v>
      </c>
      <c r="K133" s="214">
        <f>M13</f>
        <v>0</v>
      </c>
      <c r="L133" s="214"/>
      <c r="M133" s="214"/>
      <c r="N133" s="214"/>
      <c r="BI133"/>
      <c r="BJ133"/>
      <c r="BN133" s="142"/>
      <c r="BO133" s="142"/>
      <c r="BP133" s="134"/>
    </row>
    <row r="134" spans="2:68" ht="3" customHeight="1" x14ac:dyDescent="0.2">
      <c r="B134" s="212"/>
      <c r="C134" s="212"/>
      <c r="D134" s="212"/>
      <c r="E134" s="212"/>
      <c r="F134" s="212"/>
      <c r="G134" s="212"/>
      <c r="H134" s="212"/>
      <c r="I134" s="212"/>
      <c r="J134" s="212"/>
      <c r="K134" s="212"/>
      <c r="L134" s="212"/>
      <c r="M134" s="212"/>
      <c r="N134" s="212"/>
      <c r="P134"/>
      <c r="Q134"/>
      <c r="R134"/>
      <c r="S134"/>
      <c r="T134"/>
      <c r="U134"/>
      <c r="V134"/>
      <c r="W134"/>
      <c r="X134"/>
      <c r="Y134"/>
      <c r="Z134"/>
    </row>
    <row r="135" spans="2:68" x14ac:dyDescent="0.2">
      <c r="B135" s="208" t="s">
        <v>16</v>
      </c>
      <c r="C135" s="208"/>
      <c r="D135" s="208"/>
      <c r="E135" s="208"/>
      <c r="F135" s="208"/>
      <c r="G135" s="208"/>
      <c r="H135" s="208"/>
      <c r="I135" s="208"/>
      <c r="J135" s="208"/>
      <c r="K135" s="208"/>
      <c r="L135" s="208"/>
      <c r="M135" s="208"/>
      <c r="N135" s="208"/>
      <c r="P135"/>
      <c r="Q135"/>
      <c r="R135"/>
      <c r="S135"/>
      <c r="T135"/>
      <c r="U135"/>
      <c r="V135"/>
      <c r="W135"/>
      <c r="X135"/>
      <c r="Y135"/>
      <c r="Z135"/>
    </row>
    <row r="136" spans="2:68" ht="55.5" customHeight="1" x14ac:dyDescent="0.2">
      <c r="B136" s="209"/>
      <c r="C136" s="209"/>
      <c r="D136" s="209"/>
      <c r="E136" s="209"/>
      <c r="F136" s="209"/>
      <c r="G136" s="209"/>
      <c r="H136" s="209"/>
      <c r="I136" s="209"/>
      <c r="J136" s="209"/>
      <c r="K136" s="209"/>
      <c r="L136" s="209"/>
      <c r="M136" s="209"/>
      <c r="N136" s="209"/>
      <c r="P136"/>
      <c r="Q136"/>
      <c r="R136"/>
      <c r="S136"/>
      <c r="T136"/>
      <c r="U136"/>
      <c r="V136"/>
      <c r="W136"/>
      <c r="X136"/>
      <c r="Y136"/>
      <c r="Z136"/>
    </row>
    <row r="137" spans="2:68" ht="11.25" customHeight="1" x14ac:dyDescent="0.2">
      <c r="B137" s="207" t="s">
        <v>38</v>
      </c>
      <c r="C137" s="207"/>
      <c r="D137" s="207"/>
      <c r="E137" s="207"/>
      <c r="F137" s="207"/>
      <c r="G137" s="207"/>
      <c r="H137" s="207"/>
      <c r="I137" s="207"/>
      <c r="J137" s="207"/>
      <c r="K137" s="207"/>
      <c r="L137" s="207"/>
      <c r="M137" s="207"/>
      <c r="N137" s="207"/>
      <c r="O137"/>
      <c r="P137"/>
      <c r="Q137"/>
      <c r="R137"/>
      <c r="S137"/>
      <c r="T137"/>
      <c r="U137"/>
      <c r="V137"/>
      <c r="W137"/>
      <c r="X137"/>
      <c r="Y137"/>
      <c r="Z137"/>
      <c r="AA137"/>
    </row>
    <row r="138" spans="2:68" ht="18.95" customHeight="1" x14ac:dyDescent="0.2">
      <c r="B138" s="205" t="s">
        <v>5</v>
      </c>
      <c r="C138" s="205"/>
      <c r="D138" s="205"/>
      <c r="E138" s="205"/>
      <c r="F138" s="205"/>
      <c r="G138" s="205"/>
      <c r="H138" s="205"/>
      <c r="I138" s="205"/>
      <c r="J138" s="205"/>
      <c r="K138" s="205"/>
      <c r="L138" s="205"/>
      <c r="M138" s="206"/>
      <c r="N138" s="206"/>
      <c r="O138"/>
      <c r="P138"/>
      <c r="Q138"/>
      <c r="R138"/>
      <c r="S138"/>
      <c r="T138"/>
      <c r="U138"/>
      <c r="V138"/>
      <c r="W138"/>
      <c r="X138"/>
      <c r="Y138"/>
      <c r="Z138"/>
      <c r="AA138"/>
    </row>
    <row r="139" spans="2:68" ht="66.75" customHeight="1" x14ac:dyDescent="0.2">
      <c r="B139" s="205" t="s">
        <v>313</v>
      </c>
      <c r="C139" s="205"/>
      <c r="D139" s="205"/>
      <c r="E139" s="205"/>
      <c r="F139" s="205"/>
      <c r="G139" s="205"/>
      <c r="H139" s="205"/>
      <c r="I139" s="205"/>
      <c r="J139" s="205"/>
      <c r="K139" s="205"/>
      <c r="L139" s="205"/>
      <c r="M139" s="206"/>
      <c r="N139" s="206"/>
      <c r="O139"/>
      <c r="P139"/>
      <c r="Q139"/>
      <c r="R139"/>
      <c r="S139"/>
      <c r="T139"/>
      <c r="U139"/>
      <c r="V139"/>
      <c r="W139"/>
      <c r="X139"/>
      <c r="Y139"/>
      <c r="Z139"/>
      <c r="AA139"/>
    </row>
    <row r="140" spans="2:68" ht="18.95" customHeight="1" x14ac:dyDescent="0.2">
      <c r="B140" s="205" t="s">
        <v>6</v>
      </c>
      <c r="C140" s="205"/>
      <c r="D140" s="205"/>
      <c r="E140" s="205"/>
      <c r="F140" s="205"/>
      <c r="G140" s="205"/>
      <c r="H140" s="205"/>
      <c r="I140" s="205"/>
      <c r="J140" s="205"/>
      <c r="K140" s="205"/>
      <c r="L140" s="205"/>
      <c r="M140" s="206"/>
      <c r="N140" s="206"/>
      <c r="O140"/>
      <c r="P140"/>
      <c r="Q140"/>
      <c r="R140"/>
      <c r="S140"/>
      <c r="T140"/>
      <c r="U140"/>
      <c r="V140"/>
      <c r="W140"/>
      <c r="X140"/>
      <c r="Y140"/>
      <c r="Z140"/>
      <c r="AA140"/>
    </row>
    <row r="141" spans="2:68" ht="37.5" customHeight="1" x14ac:dyDescent="0.2">
      <c r="B141" s="205" t="s">
        <v>7</v>
      </c>
      <c r="C141" s="206"/>
      <c r="D141" s="206"/>
      <c r="E141" s="206"/>
      <c r="F141" s="206"/>
      <c r="G141" s="206"/>
      <c r="H141" s="206"/>
      <c r="I141" s="206"/>
      <c r="J141" s="206"/>
      <c r="K141" s="206"/>
      <c r="L141" s="206"/>
      <c r="M141" s="206"/>
      <c r="N141" s="206"/>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BB141"/>
      <c r="BC141"/>
    </row>
    <row r="142" spans="2:68" ht="21" customHeight="1" x14ac:dyDescent="0.2">
      <c r="B142" s="205" t="s">
        <v>8</v>
      </c>
      <c r="C142" s="206"/>
      <c r="D142" s="206"/>
      <c r="E142" s="206"/>
      <c r="F142" s="206"/>
      <c r="G142" s="206"/>
      <c r="H142" s="206"/>
      <c r="I142" s="206"/>
      <c r="J142" s="206"/>
      <c r="K142" s="206"/>
      <c r="L142" s="206"/>
      <c r="M142" s="206"/>
      <c r="N142" s="206"/>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row>
    <row r="143" spans="2:68" ht="30" customHeight="1" x14ac:dyDescent="0.2">
      <c r="B143" s="205" t="s">
        <v>9</v>
      </c>
      <c r="C143" s="206"/>
      <c r="D143" s="206"/>
      <c r="E143" s="206"/>
      <c r="F143" s="206"/>
      <c r="G143" s="206"/>
      <c r="H143" s="206"/>
      <c r="I143" s="206"/>
      <c r="J143" s="206"/>
      <c r="K143" s="206"/>
      <c r="L143" s="206"/>
      <c r="M143" s="206"/>
      <c r="N143" s="206"/>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row>
    <row r="144" spans="2:68" ht="37.5" customHeight="1" x14ac:dyDescent="0.2">
      <c r="B144" s="205" t="s">
        <v>314</v>
      </c>
      <c r="C144" s="206"/>
      <c r="D144" s="206"/>
      <c r="E144" s="206"/>
      <c r="F144" s="206"/>
      <c r="G144" s="206"/>
      <c r="H144" s="206"/>
      <c r="I144" s="206"/>
      <c r="J144" s="206"/>
      <c r="K144" s="206"/>
      <c r="L144" s="206"/>
      <c r="M144" s="206"/>
      <c r="N144" s="206"/>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row>
    <row r="145" spans="2:64" ht="30" customHeight="1" x14ac:dyDescent="0.2">
      <c r="B145" s="205" t="s">
        <v>10</v>
      </c>
      <c r="C145" s="206"/>
      <c r="D145" s="206"/>
      <c r="E145" s="206"/>
      <c r="F145" s="206"/>
      <c r="G145" s="206"/>
      <c r="H145" s="206"/>
      <c r="I145" s="206"/>
      <c r="J145" s="206"/>
      <c r="K145" s="206"/>
      <c r="L145" s="206"/>
      <c r="M145" s="206"/>
      <c r="N145" s="206"/>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row>
    <row r="146" spans="2:64" ht="38.25" customHeight="1" x14ac:dyDescent="0.2">
      <c r="B146" s="205" t="s">
        <v>312</v>
      </c>
      <c r="C146" s="206"/>
      <c r="D146" s="206"/>
      <c r="E146" s="206"/>
      <c r="F146" s="206"/>
      <c r="G146" s="206"/>
      <c r="H146" s="206"/>
      <c r="I146" s="206"/>
      <c r="J146" s="206"/>
      <c r="K146" s="206"/>
      <c r="L146" s="206"/>
      <c r="M146" s="206"/>
      <c r="N146" s="20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row>
    <row r="147" spans="2:64" ht="18.75" customHeight="1" x14ac:dyDescent="0.2">
      <c r="B147" s="205" t="s">
        <v>11</v>
      </c>
      <c r="C147" s="206"/>
      <c r="D147" s="206"/>
      <c r="E147" s="206"/>
      <c r="F147" s="206"/>
      <c r="G147" s="206"/>
      <c r="H147" s="206"/>
      <c r="I147" s="206"/>
      <c r="J147" s="206"/>
      <c r="K147" s="206"/>
      <c r="L147" s="206"/>
      <c r="M147" s="206"/>
      <c r="N147" s="206"/>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row>
    <row r="148" spans="2:64" ht="18" customHeight="1" x14ac:dyDescent="0.2">
      <c r="B148" s="205" t="s">
        <v>12</v>
      </c>
      <c r="C148" s="206"/>
      <c r="D148" s="206"/>
      <c r="E148" s="206"/>
      <c r="F148" s="206"/>
      <c r="G148" s="206"/>
      <c r="H148" s="206"/>
      <c r="I148" s="206"/>
      <c r="J148" s="206"/>
      <c r="K148" s="206"/>
      <c r="L148" s="206"/>
      <c r="M148" s="206"/>
      <c r="N148" s="206"/>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row>
    <row r="149" spans="2:64" ht="20.25" customHeight="1" x14ac:dyDescent="0.2">
      <c r="B149" s="205" t="s">
        <v>13</v>
      </c>
      <c r="C149" s="206"/>
      <c r="D149" s="206"/>
      <c r="E149" s="206"/>
      <c r="F149" s="206"/>
      <c r="G149" s="206"/>
      <c r="H149" s="206"/>
      <c r="I149" s="206"/>
      <c r="J149" s="206"/>
      <c r="K149" s="206"/>
      <c r="L149" s="206"/>
      <c r="M149" s="206"/>
      <c r="N149" s="206"/>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row>
    <row r="150" spans="2:64" ht="20.25" customHeight="1" x14ac:dyDescent="0.2">
      <c r="B150" s="205" t="s">
        <v>14</v>
      </c>
      <c r="C150" s="206"/>
      <c r="D150" s="206"/>
      <c r="E150" s="206"/>
      <c r="F150" s="206"/>
      <c r="G150" s="206"/>
      <c r="H150" s="206"/>
      <c r="I150" s="206"/>
      <c r="J150" s="206"/>
      <c r="K150" s="206"/>
      <c r="L150" s="206"/>
      <c r="M150" s="206"/>
      <c r="N150" s="206"/>
      <c r="O150"/>
      <c r="P150"/>
      <c r="Q150" s="49"/>
      <c r="R150" s="49"/>
      <c r="S150" s="49"/>
      <c r="T150" s="49"/>
      <c r="U150" s="49"/>
      <c r="V150" s="49"/>
      <c r="W150" s="49"/>
      <c r="X150" s="49"/>
      <c r="Y150" s="49"/>
      <c r="Z150" s="49"/>
      <c r="AA150"/>
      <c r="AB150"/>
      <c r="AC150"/>
      <c r="AD150"/>
      <c r="AE150"/>
      <c r="AF150"/>
      <c r="AG150"/>
      <c r="AH150"/>
      <c r="AI150"/>
      <c r="AJ150"/>
      <c r="AK150"/>
      <c r="AL150"/>
      <c r="AM150"/>
      <c r="AN150"/>
      <c r="AO150"/>
      <c r="AP150"/>
      <c r="AQ150"/>
      <c r="AR150"/>
      <c r="AS150"/>
      <c r="AT150"/>
      <c r="AU150"/>
      <c r="AV150"/>
      <c r="AW150"/>
      <c r="AX150"/>
      <c r="AY150"/>
      <c r="AZ150"/>
      <c r="BA150"/>
      <c r="BB150"/>
      <c r="BC150"/>
    </row>
    <row r="151" spans="2:64" ht="10.5" customHeight="1" x14ac:dyDescent="0.2">
      <c r="B151" s="225" t="s">
        <v>28</v>
      </c>
      <c r="C151" s="219"/>
      <c r="D151" s="219"/>
      <c r="E151" s="219"/>
      <c r="F151" s="219"/>
      <c r="G151" s="219"/>
      <c r="H151" s="219"/>
      <c r="I151" s="219"/>
      <c r="J151" s="219"/>
      <c r="K151" s="219"/>
      <c r="L151" s="219"/>
      <c r="M151" s="219"/>
      <c r="N151" s="219"/>
      <c r="O151"/>
      <c r="P151" s="49"/>
      <c r="Q151" s="49"/>
      <c r="R151" s="49"/>
      <c r="S151" s="49"/>
      <c r="T151" s="49"/>
      <c r="U151" s="49"/>
      <c r="V151" s="49"/>
      <c r="W151" s="49"/>
      <c r="X151" s="49"/>
      <c r="Y151" s="49"/>
      <c r="Z151" s="49"/>
      <c r="AA151"/>
      <c r="AB151"/>
      <c r="AC151"/>
      <c r="AD151"/>
      <c r="AE151"/>
      <c r="AF151"/>
      <c r="AG151"/>
      <c r="AH151"/>
      <c r="AI151"/>
      <c r="AJ151"/>
      <c r="AK151"/>
      <c r="AL151"/>
      <c r="AM151"/>
      <c r="AN151"/>
      <c r="AO151"/>
      <c r="AP151"/>
      <c r="AQ151"/>
      <c r="AR151"/>
      <c r="AS151"/>
      <c r="AT151"/>
      <c r="AU151"/>
      <c r="AV151"/>
      <c r="AW151"/>
      <c r="AX151"/>
      <c r="AY151"/>
      <c r="AZ151"/>
      <c r="BA151"/>
      <c r="BB151"/>
      <c r="BC151"/>
    </row>
    <row r="152" spans="2:64" ht="18.95" customHeight="1" x14ac:dyDescent="0.2">
      <c r="B152" s="225" t="s">
        <v>29</v>
      </c>
      <c r="C152" s="225"/>
      <c r="D152" s="225"/>
      <c r="E152" s="225"/>
      <c r="F152" s="225"/>
      <c r="G152" s="225"/>
      <c r="H152" s="225"/>
      <c r="I152" s="225"/>
      <c r="J152" s="225"/>
      <c r="K152" s="225"/>
      <c r="L152" s="225"/>
      <c r="M152" s="219"/>
      <c r="N152" s="219"/>
      <c r="O152"/>
      <c r="P152" s="49"/>
      <c r="Q152" s="49"/>
      <c r="R152" s="49"/>
      <c r="S152" s="49"/>
      <c r="T152" s="49"/>
      <c r="U152" s="49"/>
      <c r="V152" s="49"/>
      <c r="W152" s="49"/>
      <c r="X152" s="49"/>
      <c r="Y152" s="49"/>
      <c r="Z152" s="49"/>
      <c r="AA152"/>
      <c r="AB152"/>
      <c r="AC152"/>
      <c r="AD152"/>
      <c r="AE152"/>
      <c r="AF152"/>
      <c r="AG152"/>
      <c r="AH152"/>
      <c r="AI152"/>
      <c r="AJ152"/>
      <c r="AK152"/>
      <c r="AL152"/>
      <c r="AM152"/>
      <c r="AN152"/>
      <c r="AO152"/>
      <c r="AP152"/>
      <c r="AQ152"/>
      <c r="AR152"/>
      <c r="AS152"/>
      <c r="AT152"/>
      <c r="AU152"/>
      <c r="AV152"/>
      <c r="AW152"/>
      <c r="AX152"/>
      <c r="AY152"/>
      <c r="AZ152"/>
      <c r="BA152"/>
      <c r="BB152"/>
      <c r="BC152"/>
    </row>
    <row r="153" spans="2:64" ht="9.75" customHeight="1" x14ac:dyDescent="0.2">
      <c r="B153" s="218" t="s">
        <v>310</v>
      </c>
      <c r="C153" s="218"/>
      <c r="D153" s="218"/>
      <c r="E153" s="218"/>
      <c r="F153" s="218"/>
      <c r="G153" s="218"/>
      <c r="H153" s="218"/>
      <c r="I153" s="218"/>
      <c r="J153" s="218"/>
      <c r="K153" s="218"/>
      <c r="L153" s="218"/>
      <c r="M153" s="219"/>
      <c r="N153" s="219"/>
      <c r="O153"/>
      <c r="P153" s="49"/>
      <c r="Q153" s="49"/>
      <c r="R153" s="49"/>
      <c r="S153" s="49"/>
      <c r="T153" s="49"/>
      <c r="U153" s="49"/>
      <c r="V153" s="49"/>
      <c r="W153" s="49"/>
      <c r="X153" s="49"/>
      <c r="Y153" s="49"/>
      <c r="Z153" s="49"/>
      <c r="AA153"/>
      <c r="AB153"/>
      <c r="AC153"/>
      <c r="AD153"/>
      <c r="AE153"/>
      <c r="AF153"/>
      <c r="AG153"/>
      <c r="AH153"/>
      <c r="AI153"/>
      <c r="AJ153"/>
      <c r="AK153"/>
      <c r="AL153"/>
      <c r="AM153"/>
      <c r="AN153"/>
      <c r="AO153"/>
      <c r="AP153"/>
      <c r="AQ153"/>
      <c r="AR153"/>
      <c r="AS153"/>
      <c r="AT153"/>
      <c r="AU153"/>
      <c r="AV153"/>
      <c r="AW153"/>
      <c r="AX153"/>
      <c r="AY153"/>
      <c r="AZ153"/>
      <c r="BA153"/>
      <c r="BB153"/>
      <c r="BC153"/>
    </row>
    <row r="154" spans="2:64" ht="11.25" customHeight="1" x14ac:dyDescent="0.2">
      <c r="B154" s="223" t="s">
        <v>30</v>
      </c>
      <c r="C154" s="223"/>
      <c r="D154" s="223"/>
      <c r="E154" s="224"/>
      <c r="F154" s="224"/>
      <c r="G154" s="224"/>
      <c r="H154" s="47" t="s">
        <v>31</v>
      </c>
      <c r="I154" s="48"/>
      <c r="J154" s="47" t="s">
        <v>18</v>
      </c>
      <c r="K154" s="224"/>
      <c r="L154" s="224"/>
      <c r="M154" s="224"/>
      <c r="N154" s="84" t="s">
        <v>209</v>
      </c>
      <c r="O154"/>
      <c r="P154" s="49"/>
      <c r="Q154" s="49"/>
      <c r="R154" s="49"/>
      <c r="S154" s="49"/>
      <c r="T154" s="49"/>
      <c r="U154" s="49"/>
      <c r="V154" s="49"/>
      <c r="W154" s="49"/>
      <c r="X154" s="49"/>
      <c r="Y154" s="49"/>
      <c r="Z154" s="49"/>
      <c r="AA154"/>
      <c r="AB154"/>
      <c r="AC154"/>
      <c r="AD154"/>
      <c r="AE154"/>
      <c r="AF154"/>
      <c r="AG154"/>
      <c r="AH154"/>
      <c r="AI154"/>
      <c r="AJ154"/>
      <c r="AK154"/>
      <c r="AL154"/>
      <c r="AM154"/>
      <c r="AN154"/>
      <c r="AO154"/>
      <c r="AP154"/>
      <c r="AQ154"/>
      <c r="AR154"/>
      <c r="AS154"/>
      <c r="AT154"/>
      <c r="AU154"/>
      <c r="AV154"/>
      <c r="AW154"/>
      <c r="AX154"/>
      <c r="AY154"/>
      <c r="AZ154"/>
      <c r="BA154"/>
      <c r="BB154"/>
      <c r="BC154"/>
    </row>
    <row r="155" spans="2:64" ht="1.5" customHeight="1" x14ac:dyDescent="0.2">
      <c r="B155" s="50"/>
      <c r="C155" s="50"/>
      <c r="D155" s="50"/>
      <c r="E155" s="50"/>
      <c r="F155" s="50"/>
      <c r="G155" s="50"/>
      <c r="H155" s="50"/>
      <c r="I155" s="50"/>
      <c r="J155" s="50"/>
      <c r="K155" s="50"/>
      <c r="L155" s="50"/>
      <c r="M155" s="49"/>
      <c r="N155" s="49"/>
      <c r="O155"/>
      <c r="P155" s="49"/>
      <c r="Q155" s="49"/>
      <c r="R155" s="49"/>
      <c r="S155" s="49"/>
      <c r="T155" s="49"/>
      <c r="U155" s="49"/>
      <c r="V155" s="49"/>
      <c r="W155" s="49"/>
      <c r="X155" s="49"/>
      <c r="Y155" s="49"/>
      <c r="Z155" s="49"/>
      <c r="AA155"/>
      <c r="AB155"/>
      <c r="AC155"/>
      <c r="AD155"/>
      <c r="AE155"/>
      <c r="AF155"/>
      <c r="AG155"/>
      <c r="AH155"/>
      <c r="AI155"/>
      <c r="AJ155"/>
      <c r="AK155"/>
      <c r="AL155"/>
      <c r="AM155"/>
      <c r="AN155"/>
      <c r="AO155"/>
      <c r="AP155"/>
      <c r="AQ155"/>
      <c r="AR155"/>
      <c r="AS155"/>
      <c r="AT155"/>
      <c r="AU155"/>
      <c r="AV155"/>
      <c r="AW155"/>
      <c r="AX155"/>
      <c r="AY155"/>
      <c r="AZ155"/>
      <c r="BA155"/>
      <c r="BB155"/>
      <c r="BC155"/>
    </row>
    <row r="156" spans="2:64" ht="10.5" customHeight="1" x14ac:dyDescent="0.2">
      <c r="B156" s="51" t="s">
        <v>32</v>
      </c>
      <c r="C156" s="51"/>
      <c r="D156" s="50"/>
      <c r="E156" s="50"/>
      <c r="F156" s="50"/>
      <c r="G156" s="50"/>
      <c r="H156" s="50"/>
      <c r="I156" s="50"/>
      <c r="J156" s="50"/>
      <c r="K156" s="50"/>
      <c r="L156" s="50"/>
      <c r="M156" s="49"/>
      <c r="N156" s="49"/>
      <c r="O156" s="49"/>
      <c r="P156" s="49"/>
      <c r="Q156" s="49"/>
      <c r="R156" s="49"/>
      <c r="S156" s="49"/>
      <c r="T156" s="49"/>
      <c r="U156" s="49"/>
      <c r="V156" s="49"/>
      <c r="W156" s="49"/>
      <c r="X156" s="49"/>
      <c r="Y156" s="49"/>
      <c r="Z156" s="49"/>
      <c r="AA156" s="49"/>
      <c r="AB156"/>
      <c r="AC156"/>
      <c r="AD156"/>
      <c r="AE156"/>
      <c r="AF156"/>
      <c r="AG156"/>
      <c r="AH156"/>
      <c r="AI156"/>
      <c r="AJ156"/>
      <c r="AK156"/>
      <c r="AL156"/>
      <c r="AM156"/>
      <c r="AN156"/>
      <c r="AO156"/>
      <c r="AP156"/>
      <c r="AQ156"/>
      <c r="AR156"/>
      <c r="AS156"/>
      <c r="AT156"/>
      <c r="AU156"/>
      <c r="AV156"/>
      <c r="AW156"/>
      <c r="AX156"/>
      <c r="AY156"/>
      <c r="AZ156"/>
      <c r="BA156"/>
      <c r="BB156"/>
      <c r="BC156"/>
    </row>
    <row r="157" spans="2:64" ht="7.5" customHeight="1" x14ac:dyDescent="0.2">
      <c r="B157" s="50" t="s">
        <v>33</v>
      </c>
      <c r="C157" s="50"/>
      <c r="D157" s="50"/>
      <c r="E157" s="50"/>
      <c r="F157" s="50"/>
      <c r="G157" s="50"/>
      <c r="H157" s="50"/>
      <c r="I157" s="50"/>
      <c r="J157" s="50"/>
      <c r="K157" s="50"/>
      <c r="L157" s="50"/>
      <c r="M157" s="49"/>
      <c r="N157" s="49"/>
      <c r="O157" s="49"/>
      <c r="P157" s="49"/>
      <c r="Q157" s="49"/>
      <c r="R157" s="49"/>
      <c r="S157" s="49"/>
      <c r="T157" s="49"/>
      <c r="U157" s="49"/>
      <c r="V157" s="49"/>
      <c r="W157" s="49"/>
      <c r="X157" s="49"/>
      <c r="Y157" s="49"/>
      <c r="Z157" s="49"/>
      <c r="AA157" s="49"/>
      <c r="AB157"/>
      <c r="AC157"/>
      <c r="AD157"/>
      <c r="AE157"/>
      <c r="AF157"/>
      <c r="AG157"/>
      <c r="AH157"/>
      <c r="AI157"/>
      <c r="AJ157"/>
      <c r="AK157"/>
      <c r="AL157"/>
      <c r="AM157"/>
      <c r="AN157"/>
      <c r="AO157"/>
      <c r="AP157"/>
      <c r="AQ157"/>
      <c r="AR157"/>
      <c r="AS157"/>
      <c r="AT157"/>
      <c r="AU157"/>
      <c r="AV157"/>
      <c r="AW157"/>
      <c r="AX157"/>
      <c r="AY157"/>
      <c r="AZ157"/>
      <c r="BA157"/>
      <c r="BB157"/>
      <c r="BC157"/>
    </row>
    <row r="158" spans="2:64" ht="1.5" customHeight="1" x14ac:dyDescent="0.2">
      <c r="B158" s="50"/>
      <c r="C158" s="50"/>
      <c r="D158" s="50"/>
      <c r="E158" s="50"/>
      <c r="F158" s="50"/>
      <c r="G158" s="50"/>
      <c r="H158" s="50"/>
      <c r="I158" s="50"/>
      <c r="J158" s="50"/>
      <c r="K158" s="50"/>
      <c r="L158" s="50"/>
      <c r="M158" s="49"/>
      <c r="N158" s="49"/>
      <c r="O158" s="49"/>
      <c r="P158" s="49"/>
      <c r="Q158" s="49"/>
      <c r="R158" s="49"/>
      <c r="S158" s="49"/>
      <c r="T158" s="49"/>
      <c r="U158" s="49"/>
      <c r="V158" s="49"/>
      <c r="W158" s="49"/>
      <c r="X158" s="49"/>
      <c r="Y158" s="49"/>
      <c r="Z158" s="49"/>
      <c r="AA158" s="49"/>
      <c r="AB158"/>
      <c r="AC158"/>
      <c r="AD158"/>
      <c r="AE158"/>
      <c r="AF158"/>
      <c r="AG158"/>
      <c r="AH158"/>
      <c r="AI158"/>
      <c r="AJ158"/>
      <c r="AK158"/>
      <c r="AL158"/>
      <c r="AM158"/>
      <c r="AN158"/>
      <c r="AO158"/>
      <c r="AP158"/>
      <c r="AQ158"/>
      <c r="AR158"/>
      <c r="AS158"/>
      <c r="AT158"/>
      <c r="AU158"/>
      <c r="AV158"/>
      <c r="AW158"/>
      <c r="AX158"/>
      <c r="AY158"/>
      <c r="AZ158"/>
      <c r="BA158"/>
      <c r="BB158"/>
      <c r="BC158"/>
    </row>
    <row r="159" spans="2:64" s="49" customFormat="1" ht="9.75" customHeight="1" x14ac:dyDescent="0.2">
      <c r="B159" s="52" t="s">
        <v>34</v>
      </c>
      <c r="C159" s="51"/>
      <c r="D159" s="51"/>
      <c r="E159" s="217"/>
      <c r="F159" s="217"/>
      <c r="G159" s="217"/>
      <c r="H159" s="217"/>
      <c r="I159" s="46" t="s">
        <v>35</v>
      </c>
      <c r="J159" s="216"/>
      <c r="K159" s="216"/>
      <c r="L159" s="216"/>
      <c r="M159" s="216"/>
      <c r="N159" s="216"/>
      <c r="Q159" s="1"/>
      <c r="R159" s="1"/>
      <c r="S159" s="1"/>
      <c r="T159" s="1"/>
      <c r="U159" s="1"/>
      <c r="V159" s="1"/>
      <c r="W159" s="1"/>
      <c r="X159" s="1"/>
      <c r="Y159" s="1"/>
      <c r="Z159" s="1"/>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s="107"/>
      <c r="BJ159" s="134"/>
      <c r="BK159"/>
      <c r="BL159"/>
    </row>
    <row r="160" spans="2:64" s="49" customFormat="1" ht="6" customHeight="1" x14ac:dyDescent="0.2">
      <c r="B160" s="50"/>
      <c r="P160" s="1"/>
      <c r="Q160" s="1"/>
      <c r="R160" s="1"/>
      <c r="S160" s="1"/>
      <c r="T160" s="1"/>
      <c r="U160" s="1"/>
      <c r="V160" s="1"/>
      <c r="W160" s="1"/>
      <c r="X160" s="1"/>
      <c r="Y160" s="1"/>
      <c r="Z160" s="1"/>
      <c r="AZ160"/>
      <c r="BA160"/>
      <c r="BI160" s="133"/>
      <c r="BJ160" s="134"/>
    </row>
    <row r="161" spans="1:62" s="49" customFormat="1" ht="12.75" customHeight="1" x14ac:dyDescent="0.2">
      <c r="B161" s="52" t="s">
        <v>34</v>
      </c>
      <c r="C161" s="51"/>
      <c r="D161" s="51"/>
      <c r="E161" s="217"/>
      <c r="F161" s="217"/>
      <c r="G161" s="217"/>
      <c r="H161" s="217"/>
      <c r="I161" s="46" t="s">
        <v>36</v>
      </c>
      <c r="J161" s="216"/>
      <c r="K161" s="216"/>
      <c r="L161" s="216"/>
      <c r="M161" s="216"/>
      <c r="N161" s="216"/>
      <c r="P161" s="1"/>
      <c r="Q161" s="1"/>
      <c r="R161" s="1"/>
      <c r="S161" s="1"/>
      <c r="T161" s="1"/>
      <c r="U161" s="1"/>
      <c r="V161" s="1"/>
      <c r="W161" s="1"/>
      <c r="X161" s="1"/>
      <c r="Y161" s="1"/>
      <c r="Z161" s="1"/>
      <c r="BI161" s="133"/>
      <c r="BJ161" s="134"/>
    </row>
    <row r="162" spans="1:62" s="49" customFormat="1" ht="8.25" customHeight="1" x14ac:dyDescent="0.2">
      <c r="B162" s="215" t="s">
        <v>37</v>
      </c>
      <c r="C162" s="215"/>
      <c r="D162" s="215"/>
      <c r="E162" s="215"/>
      <c r="F162" s="215"/>
      <c r="G162" s="215"/>
      <c r="H162" s="215"/>
      <c r="I162" s="215"/>
      <c r="J162" s="215"/>
      <c r="K162" s="215"/>
      <c r="L162" s="215"/>
      <c r="M162" s="215"/>
      <c r="N162" s="215"/>
      <c r="P162" s="1"/>
      <c r="Q162" s="1"/>
      <c r="R162" s="1"/>
      <c r="S162" s="1"/>
      <c r="T162" s="1"/>
      <c r="U162" s="1"/>
      <c r="V162" s="1"/>
      <c r="W162" s="1"/>
      <c r="X162" s="1"/>
      <c r="Y162" s="1"/>
      <c r="Z162" s="1"/>
      <c r="BI162" s="133"/>
      <c r="BJ162" s="134"/>
    </row>
    <row r="163" spans="1:62" s="49" customFormat="1" ht="15" customHeight="1" x14ac:dyDescent="0.2">
      <c r="B163" s="1"/>
      <c r="C163" s="1"/>
      <c r="D163" s="1"/>
      <c r="E163" s="1"/>
      <c r="F163" s="1"/>
      <c r="G163" s="1"/>
      <c r="H163" s="1"/>
      <c r="I163" s="1"/>
      <c r="J163" s="1"/>
      <c r="K163" s="1"/>
      <c r="L163" s="1"/>
      <c r="M163" s="1"/>
      <c r="N163" s="1"/>
      <c r="P163" s="1"/>
      <c r="Q163" s="1"/>
      <c r="R163" s="1"/>
      <c r="S163" s="1"/>
      <c r="T163" s="1"/>
      <c r="U163" s="1"/>
      <c r="V163" s="1"/>
      <c r="W163" s="1"/>
      <c r="X163" s="1"/>
      <c r="Y163" s="1"/>
      <c r="Z163" s="1"/>
      <c r="BI163" s="133"/>
      <c r="BJ163" s="134"/>
    </row>
    <row r="164" spans="1:62" ht="15.75" customHeight="1" x14ac:dyDescent="0.2">
      <c r="A164" s="226"/>
      <c r="B164" s="227" t="s">
        <v>275</v>
      </c>
      <c r="C164" s="227"/>
      <c r="D164" s="227"/>
      <c r="E164" s="227"/>
      <c r="F164" s="227"/>
      <c r="G164" s="227"/>
      <c r="H164" s="227"/>
      <c r="I164" s="227"/>
      <c r="J164" s="227"/>
      <c r="K164" s="227"/>
      <c r="L164" s="227"/>
      <c r="M164" s="227"/>
      <c r="N164" s="227"/>
      <c r="O164" s="181"/>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I164"/>
      <c r="BJ164"/>
    </row>
    <row r="165" spans="1:62" ht="4.5" customHeight="1" x14ac:dyDescent="0.2">
      <c r="A165" s="226"/>
      <c r="B165" s="228"/>
      <c r="C165" s="228"/>
      <c r="D165" s="228"/>
      <c r="E165" s="228"/>
      <c r="F165" s="228"/>
      <c r="G165" s="228"/>
      <c r="H165" s="228"/>
      <c r="I165" s="228"/>
      <c r="J165" s="228"/>
      <c r="K165" s="228"/>
      <c r="L165" s="228"/>
      <c r="M165" s="228"/>
      <c r="N165" s="228"/>
      <c r="O165" s="181"/>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I165"/>
      <c r="BJ165"/>
    </row>
    <row r="166" spans="1:62" ht="7.5" customHeight="1" x14ac:dyDescent="0.2">
      <c r="A166" s="226"/>
      <c r="B166" s="228"/>
      <c r="C166" s="228"/>
      <c r="D166" s="228"/>
      <c r="E166" s="228"/>
      <c r="F166" s="228"/>
      <c r="G166" s="228"/>
      <c r="H166" s="228"/>
      <c r="I166" s="228"/>
      <c r="J166" s="228"/>
      <c r="K166" s="228"/>
      <c r="L166" s="228"/>
      <c r="M166" s="228"/>
      <c r="N166" s="228"/>
      <c r="O166" s="181"/>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I166"/>
      <c r="BJ166"/>
    </row>
    <row r="167" spans="1:62" ht="12.75" customHeight="1" x14ac:dyDescent="0.2">
      <c r="A167" s="226"/>
      <c r="B167" s="229" t="s">
        <v>276</v>
      </c>
      <c r="C167" s="229"/>
      <c r="D167" s="229"/>
      <c r="E167" s="229"/>
      <c r="F167" s="229"/>
      <c r="G167" s="229"/>
      <c r="H167" s="229"/>
      <c r="I167" s="229"/>
      <c r="J167" s="229"/>
      <c r="K167" s="229"/>
      <c r="L167" s="229"/>
      <c r="M167" s="229"/>
      <c r="N167" s="229"/>
      <c r="O167" s="181"/>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I167"/>
      <c r="BJ167"/>
    </row>
    <row r="168" spans="1:62" ht="21.75" customHeight="1" x14ac:dyDescent="0.25">
      <c r="A168" s="226"/>
      <c r="B168" s="230" t="s">
        <v>277</v>
      </c>
      <c r="C168" s="230"/>
      <c r="D168" s="230"/>
      <c r="E168" s="230"/>
      <c r="F168" s="230"/>
      <c r="G168" s="230"/>
      <c r="H168" s="230"/>
      <c r="I168" s="230"/>
      <c r="J168" s="230"/>
      <c r="K168" s="230"/>
      <c r="L168" s="230"/>
      <c r="M168" s="230"/>
      <c r="N168" s="230"/>
      <c r="O168" s="181"/>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I168"/>
      <c r="BJ168"/>
    </row>
    <row r="169" spans="1:62" ht="12.75" customHeight="1" x14ac:dyDescent="0.2">
      <c r="A169" s="226"/>
      <c r="B169" s="231" t="s">
        <v>278</v>
      </c>
      <c r="C169" s="231"/>
      <c r="D169" s="231"/>
      <c r="E169" s="231"/>
      <c r="F169" s="232"/>
      <c r="G169" s="233" t="s">
        <v>279</v>
      </c>
      <c r="H169" s="234"/>
      <c r="I169" s="234"/>
      <c r="J169" s="235"/>
      <c r="K169" s="233" t="s">
        <v>280</v>
      </c>
      <c r="L169" s="234"/>
      <c r="M169" s="234"/>
      <c r="N169" s="234"/>
      <c r="O169" s="181"/>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I169"/>
      <c r="BJ169"/>
    </row>
    <row r="170" spans="1:62" ht="21.75" customHeight="1" x14ac:dyDescent="0.2">
      <c r="A170" s="226"/>
      <c r="B170" s="236" t="s">
        <v>281</v>
      </c>
      <c r="C170" s="236"/>
      <c r="D170" s="236"/>
      <c r="E170" s="236"/>
      <c r="F170" s="236"/>
      <c r="G170" s="237" t="s">
        <v>282</v>
      </c>
      <c r="H170" s="236"/>
      <c r="I170" s="236"/>
      <c r="J170" s="236"/>
      <c r="K170" s="238"/>
      <c r="L170" s="239"/>
      <c r="M170" s="239"/>
      <c r="N170" s="239"/>
      <c r="O170" s="181"/>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I170"/>
      <c r="BJ170"/>
    </row>
    <row r="171" spans="1:62" ht="12.75" customHeight="1" thickBot="1" x14ac:dyDescent="0.25">
      <c r="A171" s="226"/>
      <c r="B171" s="240"/>
      <c r="C171" s="240"/>
      <c r="D171" s="240"/>
      <c r="E171" s="240"/>
      <c r="F171" s="240"/>
      <c r="G171" s="240"/>
      <c r="H171" s="240"/>
      <c r="I171" s="240"/>
      <c r="J171" s="240"/>
      <c r="K171" s="240"/>
      <c r="L171" s="240"/>
      <c r="M171" s="240"/>
      <c r="N171" s="240"/>
      <c r="O171" s="18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I171"/>
      <c r="BJ171"/>
    </row>
    <row r="172" spans="1:62" ht="12.75" customHeight="1" x14ac:dyDescent="0.2">
      <c r="A172" s="226"/>
      <c r="B172" s="241" t="s">
        <v>283</v>
      </c>
      <c r="C172" s="242"/>
      <c r="D172" s="242"/>
      <c r="E172" s="242"/>
      <c r="F172" s="242"/>
      <c r="G172" s="242"/>
      <c r="H172" s="242"/>
      <c r="I172" s="242"/>
      <c r="J172" s="242"/>
      <c r="K172" s="242"/>
      <c r="L172" s="242"/>
      <c r="M172" s="242"/>
      <c r="N172" s="242"/>
      <c r="O172" s="181"/>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I172"/>
      <c r="BJ172"/>
    </row>
    <row r="173" spans="1:62" ht="21.75" customHeight="1" x14ac:dyDescent="0.2">
      <c r="A173" s="226"/>
      <c r="B173" s="239"/>
      <c r="C173" s="239"/>
      <c r="D173" s="239"/>
      <c r="E173" s="239"/>
      <c r="F173" s="239"/>
      <c r="G173" s="239"/>
      <c r="H173" s="239"/>
      <c r="I173" s="239"/>
      <c r="J173" s="239"/>
      <c r="K173" s="239"/>
      <c r="L173" s="239"/>
      <c r="M173" s="239"/>
      <c r="N173" s="239"/>
      <c r="O173" s="181"/>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I173"/>
      <c r="BJ173"/>
    </row>
    <row r="174" spans="1:62" ht="12.75" customHeight="1" x14ac:dyDescent="0.2">
      <c r="A174" s="226"/>
      <c r="B174" s="243" t="s">
        <v>284</v>
      </c>
      <c r="C174" s="244"/>
      <c r="D174" s="244"/>
      <c r="E174" s="244"/>
      <c r="F174" s="244"/>
      <c r="G174" s="244"/>
      <c r="H174" s="244"/>
      <c r="I174" s="244"/>
      <c r="J174" s="244"/>
      <c r="K174" s="244"/>
      <c r="L174" s="244"/>
      <c r="M174" s="244"/>
      <c r="N174" s="244"/>
      <c r="O174" s="181"/>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I174"/>
      <c r="BJ174"/>
    </row>
    <row r="175" spans="1:62" ht="21.75" customHeight="1" x14ac:dyDescent="0.2">
      <c r="A175" s="226"/>
      <c r="B175" s="245"/>
      <c r="C175" s="245"/>
      <c r="D175" s="245"/>
      <c r="E175" s="245"/>
      <c r="F175" s="245"/>
      <c r="G175" s="245"/>
      <c r="H175" s="245"/>
      <c r="I175" s="245"/>
      <c r="J175" s="245"/>
      <c r="K175" s="245"/>
      <c r="L175" s="245"/>
      <c r="M175" s="245"/>
      <c r="N175" s="245"/>
      <c r="O175" s="181"/>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I175"/>
      <c r="BJ175"/>
    </row>
    <row r="176" spans="1:62" ht="12.75" customHeight="1" x14ac:dyDescent="0.2">
      <c r="A176" s="226"/>
      <c r="B176" s="246" t="s">
        <v>285</v>
      </c>
      <c r="C176" s="247"/>
      <c r="D176" s="247"/>
      <c r="E176" s="247"/>
      <c r="F176" s="247"/>
      <c r="G176" s="247" t="s">
        <v>286</v>
      </c>
      <c r="H176" s="248"/>
      <c r="I176" s="248"/>
      <c r="J176" s="248"/>
      <c r="K176" s="247" t="s">
        <v>287</v>
      </c>
      <c r="L176" s="248"/>
      <c r="M176" s="248"/>
      <c r="N176" s="249"/>
      <c r="O176" s="181"/>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I176"/>
      <c r="BJ176"/>
    </row>
    <row r="177" spans="1:62" ht="21.75" customHeight="1" x14ac:dyDescent="0.2">
      <c r="A177" s="226"/>
      <c r="B177" s="250"/>
      <c r="C177" s="251"/>
      <c r="D177" s="251"/>
      <c r="E177" s="251"/>
      <c r="F177" s="251"/>
      <c r="G177" s="251"/>
      <c r="H177" s="251"/>
      <c r="I177" s="251"/>
      <c r="J177" s="251"/>
      <c r="K177" s="251"/>
      <c r="L177" s="251"/>
      <c r="M177" s="251"/>
      <c r="N177" s="252"/>
      <c r="O177" s="181"/>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I177"/>
      <c r="BJ177"/>
    </row>
    <row r="178" spans="1:62" ht="12.75" customHeight="1" x14ac:dyDescent="0.2">
      <c r="A178" s="226"/>
      <c r="B178" s="243" t="s">
        <v>288</v>
      </c>
      <c r="C178" s="243"/>
      <c r="D178" s="243"/>
      <c r="E178" s="243"/>
      <c r="F178" s="243"/>
      <c r="G178" s="244"/>
      <c r="H178" s="253"/>
      <c r="I178" s="254" t="s">
        <v>289</v>
      </c>
      <c r="J178" s="243"/>
      <c r="K178" s="243"/>
      <c r="L178" s="243"/>
      <c r="M178" s="243"/>
      <c r="N178" s="243"/>
      <c r="O178" s="181"/>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I178"/>
      <c r="BJ178"/>
    </row>
    <row r="179" spans="1:62" ht="21.75" customHeight="1" x14ac:dyDescent="0.2">
      <c r="A179" s="226"/>
      <c r="B179" s="255"/>
      <c r="C179" s="255"/>
      <c r="D179" s="255"/>
      <c r="E179" s="255"/>
      <c r="F179" s="255"/>
      <c r="G179" s="255"/>
      <c r="H179" s="256"/>
      <c r="I179" s="257"/>
      <c r="J179" s="255"/>
      <c r="K179" s="255"/>
      <c r="L179" s="255"/>
      <c r="M179" s="255"/>
      <c r="N179" s="255"/>
      <c r="O179" s="181"/>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I179"/>
      <c r="BJ179"/>
    </row>
    <row r="180" spans="1:62" ht="18.75" customHeight="1" x14ac:dyDescent="0.2">
      <c r="A180" s="226"/>
      <c r="B180" s="258"/>
      <c r="C180" s="258"/>
      <c r="D180" s="258"/>
      <c r="E180" s="258"/>
      <c r="F180" s="258"/>
      <c r="G180" s="258"/>
      <c r="H180" s="258"/>
      <c r="I180" s="258"/>
      <c r="J180" s="258"/>
      <c r="K180" s="258"/>
      <c r="L180" s="258"/>
      <c r="M180" s="258"/>
      <c r="N180" s="258"/>
      <c r="O180" s="181"/>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I180"/>
      <c r="BJ180"/>
    </row>
    <row r="181" spans="1:62" ht="22.5" customHeight="1" x14ac:dyDescent="0.25">
      <c r="A181" s="226"/>
      <c r="B181" s="144" t="s">
        <v>290</v>
      </c>
      <c r="C181" s="145"/>
      <c r="D181" s="259"/>
      <c r="E181" s="259"/>
      <c r="F181" s="259"/>
      <c r="G181" s="259"/>
      <c r="H181" s="228" t="s">
        <v>291</v>
      </c>
      <c r="I181" s="228"/>
      <c r="J181" s="260" t="s">
        <v>292</v>
      </c>
      <c r="K181" s="260"/>
      <c r="L181" s="260"/>
      <c r="M181" s="260"/>
      <c r="N181" s="260"/>
      <c r="O181" s="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I181"/>
      <c r="BJ181"/>
    </row>
    <row r="182" spans="1:62" ht="7.5" customHeight="1" x14ac:dyDescent="0.2">
      <c r="A182" s="226"/>
      <c r="B182" s="261"/>
      <c r="C182" s="262"/>
      <c r="D182" s="262"/>
      <c r="E182" s="262"/>
      <c r="F182" s="262"/>
      <c r="G182" s="262"/>
      <c r="H182" s="262"/>
      <c r="I182" s="262"/>
      <c r="J182" s="262"/>
      <c r="K182" s="262"/>
      <c r="L182" s="262"/>
      <c r="M182" s="262"/>
      <c r="N182" s="262"/>
      <c r="O182" s="181"/>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I182"/>
      <c r="BJ182"/>
    </row>
    <row r="183" spans="1:62" ht="22.5" customHeight="1" x14ac:dyDescent="0.2">
      <c r="A183" s="226"/>
      <c r="B183" s="144" t="s">
        <v>293</v>
      </c>
      <c r="C183" s="144"/>
      <c r="D183" s="144"/>
      <c r="E183" s="146"/>
      <c r="F183" s="261" t="s">
        <v>294</v>
      </c>
      <c r="G183" s="262"/>
      <c r="H183" s="262"/>
      <c r="I183" s="261" t="s">
        <v>295</v>
      </c>
      <c r="J183" s="261"/>
      <c r="K183" s="261"/>
      <c r="L183" s="261"/>
      <c r="M183" s="261"/>
      <c r="N183" s="261"/>
      <c r="O183" s="181"/>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I183"/>
      <c r="BJ183"/>
    </row>
    <row r="184" spans="1:62" ht="7.5" customHeight="1" x14ac:dyDescent="0.2">
      <c r="A184" s="226"/>
      <c r="B184" s="261"/>
      <c r="C184" s="262"/>
      <c r="D184" s="262"/>
      <c r="E184" s="262"/>
      <c r="F184" s="262"/>
      <c r="G184" s="262"/>
      <c r="H184" s="262"/>
      <c r="I184" s="262"/>
      <c r="J184" s="262"/>
      <c r="K184" s="262"/>
      <c r="L184" s="262"/>
      <c r="M184" s="262"/>
      <c r="N184" s="262"/>
      <c r="O184" s="181"/>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I184"/>
      <c r="BJ184"/>
    </row>
    <row r="185" spans="1:62" ht="25.5" customHeight="1" x14ac:dyDescent="0.2">
      <c r="A185" s="226"/>
      <c r="B185" s="261" t="s">
        <v>296</v>
      </c>
      <c r="C185" s="261"/>
      <c r="D185" s="261"/>
      <c r="E185" s="261"/>
      <c r="F185" s="259"/>
      <c r="G185" s="259"/>
      <c r="H185" s="259"/>
      <c r="I185" s="259"/>
      <c r="J185" s="263" t="s">
        <v>297</v>
      </c>
      <c r="K185" s="263"/>
      <c r="L185" s="263"/>
      <c r="M185" s="264"/>
      <c r="N185" s="259"/>
      <c r="O185" s="181"/>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I185"/>
      <c r="BJ185"/>
    </row>
    <row r="186" spans="1:62" ht="7.5" customHeight="1" x14ac:dyDescent="0.2">
      <c r="A186" s="226"/>
      <c r="B186" s="261"/>
      <c r="C186" s="262"/>
      <c r="D186" s="262"/>
      <c r="E186" s="262"/>
      <c r="F186" s="262"/>
      <c r="G186" s="262"/>
      <c r="H186" s="262"/>
      <c r="I186" s="262"/>
      <c r="J186" s="262"/>
      <c r="K186" s="262"/>
      <c r="L186" s="262"/>
      <c r="M186" s="262"/>
      <c r="N186" s="262"/>
      <c r="O186" s="181"/>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I186"/>
      <c r="BJ186"/>
    </row>
    <row r="187" spans="1:62" ht="22.5" customHeight="1" x14ac:dyDescent="0.25">
      <c r="A187" s="226"/>
      <c r="B187" s="144" t="s">
        <v>298</v>
      </c>
      <c r="C187" s="144"/>
      <c r="D187" s="147"/>
      <c r="E187" s="148"/>
      <c r="F187" s="259"/>
      <c r="G187" s="259"/>
      <c r="H187" s="259"/>
      <c r="I187" s="265"/>
      <c r="J187" s="262"/>
      <c r="K187" s="262"/>
      <c r="L187" s="262"/>
      <c r="M187" s="262"/>
      <c r="N187" s="262"/>
      <c r="O187" s="181"/>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I187"/>
      <c r="BJ187"/>
    </row>
    <row r="188" spans="1:62" ht="21.75" customHeight="1" x14ac:dyDescent="0.2">
      <c r="A188" s="226"/>
      <c r="B188" s="266"/>
      <c r="C188" s="262"/>
      <c r="D188" s="262"/>
      <c r="E188" s="262"/>
      <c r="F188" s="262"/>
      <c r="G188" s="262"/>
      <c r="H188" s="262"/>
      <c r="I188" s="262"/>
      <c r="J188" s="262"/>
      <c r="K188" s="262"/>
      <c r="L188" s="262"/>
      <c r="M188" s="262"/>
      <c r="N188" s="262"/>
      <c r="O188" s="181"/>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I188"/>
      <c r="BJ188"/>
    </row>
    <row r="189" spans="1:62" ht="25.5" customHeight="1" x14ac:dyDescent="0.25">
      <c r="A189" s="226"/>
      <c r="B189" s="267" t="s">
        <v>299</v>
      </c>
      <c r="C189" s="262"/>
      <c r="D189" s="262"/>
      <c r="E189" s="262"/>
      <c r="F189" s="262"/>
      <c r="G189" s="262"/>
      <c r="H189" s="262"/>
      <c r="I189" s="262"/>
      <c r="J189" s="262"/>
      <c r="K189" s="267" t="s">
        <v>300</v>
      </c>
      <c r="L189" s="262"/>
      <c r="M189" s="262"/>
      <c r="N189" s="262"/>
      <c r="O189" s="181"/>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I189"/>
      <c r="BJ189"/>
    </row>
    <row r="190" spans="1:62" ht="7.5" customHeight="1" x14ac:dyDescent="0.2">
      <c r="A190" s="226"/>
      <c r="B190" s="266"/>
      <c r="C190" s="262"/>
      <c r="D190" s="262"/>
      <c r="E190" s="262"/>
      <c r="F190" s="262"/>
      <c r="G190" s="262"/>
      <c r="H190" s="262"/>
      <c r="I190" s="262"/>
      <c r="J190" s="262"/>
      <c r="K190" s="262"/>
      <c r="L190" s="262"/>
      <c r="M190" s="262"/>
      <c r="N190" s="262"/>
      <c r="O190" s="181"/>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I190"/>
      <c r="BJ190"/>
    </row>
    <row r="191" spans="1:62" ht="25.5" customHeight="1" x14ac:dyDescent="0.25">
      <c r="A191" s="226"/>
      <c r="B191" s="149">
        <v>1</v>
      </c>
      <c r="C191" s="145"/>
      <c r="D191" s="268" t="s">
        <v>301</v>
      </c>
      <c r="E191" s="268"/>
      <c r="F191" s="268"/>
      <c r="G191" s="268"/>
      <c r="H191" s="268"/>
      <c r="I191" s="268"/>
      <c r="J191" s="150" t="s">
        <v>302</v>
      </c>
      <c r="K191" s="269">
        <f>N103</f>
        <v>0</v>
      </c>
      <c r="L191" s="269"/>
      <c r="M191" s="269"/>
      <c r="N191" s="269"/>
      <c r="O191" s="18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I191"/>
      <c r="BJ191"/>
    </row>
    <row r="192" spans="1:62" ht="25.5" customHeight="1" x14ac:dyDescent="0.25">
      <c r="A192" s="226"/>
      <c r="B192" s="149">
        <v>2</v>
      </c>
      <c r="C192" s="145"/>
      <c r="D192" s="270" t="s">
        <v>303</v>
      </c>
      <c r="E192" s="271"/>
      <c r="F192" s="271"/>
      <c r="G192" s="271"/>
      <c r="H192" s="271"/>
      <c r="I192" s="271"/>
      <c r="J192" s="150" t="s">
        <v>302</v>
      </c>
      <c r="K192" s="272"/>
      <c r="L192" s="270"/>
      <c r="M192" s="270"/>
      <c r="N192" s="270"/>
      <c r="O192" s="181"/>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I192"/>
      <c r="BJ192"/>
    </row>
    <row r="193" spans="1:62" ht="25.5" customHeight="1" x14ac:dyDescent="0.25">
      <c r="A193" s="226"/>
      <c r="B193" s="149">
        <v>3</v>
      </c>
      <c r="C193" s="145"/>
      <c r="D193" s="270"/>
      <c r="E193" s="270"/>
      <c r="F193" s="270"/>
      <c r="G193" s="270"/>
      <c r="H193" s="270"/>
      <c r="I193" s="270"/>
      <c r="J193" s="150" t="s">
        <v>302</v>
      </c>
      <c r="K193" s="272"/>
      <c r="L193" s="270"/>
      <c r="M193" s="270"/>
      <c r="N193" s="270"/>
      <c r="O193" s="181"/>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I193"/>
      <c r="BJ193"/>
    </row>
    <row r="194" spans="1:62" ht="7.5" customHeight="1" x14ac:dyDescent="0.2">
      <c r="A194" s="226"/>
      <c r="B194" s="261"/>
      <c r="C194" s="262"/>
      <c r="D194" s="262"/>
      <c r="E194" s="262"/>
      <c r="F194" s="262"/>
      <c r="G194" s="262"/>
      <c r="H194" s="262"/>
      <c r="I194" s="262"/>
      <c r="J194" s="262"/>
      <c r="K194" s="262"/>
      <c r="L194" s="262"/>
      <c r="M194" s="262"/>
      <c r="N194" s="262"/>
      <c r="O194" s="181"/>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I194"/>
      <c r="BJ194"/>
    </row>
    <row r="195" spans="1:62" ht="25.5" customHeight="1" thickBot="1" x14ac:dyDescent="0.3">
      <c r="A195" s="226"/>
      <c r="B195" s="267" t="s">
        <v>304</v>
      </c>
      <c r="C195" s="262"/>
      <c r="D195" s="262"/>
      <c r="E195" s="262"/>
      <c r="F195" s="262"/>
      <c r="G195" s="262"/>
      <c r="H195" s="262"/>
      <c r="I195" s="262"/>
      <c r="J195" s="150" t="s">
        <v>302</v>
      </c>
      <c r="K195" s="276">
        <f>SUM(K191:N194)</f>
        <v>0</v>
      </c>
      <c r="L195" s="277"/>
      <c r="M195" s="277"/>
      <c r="N195" s="277"/>
      <c r="O195" s="181"/>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I195"/>
      <c r="BJ195"/>
    </row>
    <row r="196" spans="1:62" ht="13.5" thickTop="1" x14ac:dyDescent="0.2">
      <c r="A196" s="226"/>
      <c r="B196" s="262"/>
      <c r="C196" s="262"/>
      <c r="D196" s="262"/>
      <c r="E196" s="262"/>
      <c r="F196" s="262"/>
      <c r="G196" s="262"/>
      <c r="H196" s="262"/>
      <c r="I196" s="262"/>
      <c r="J196" s="262"/>
      <c r="K196" s="262"/>
      <c r="L196" s="262"/>
      <c r="M196" s="262"/>
      <c r="N196" s="262"/>
      <c r="O196" s="181"/>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I196"/>
      <c r="BJ196"/>
    </row>
    <row r="197" spans="1:62" x14ac:dyDescent="0.2">
      <c r="A197" s="226"/>
      <c r="B197" s="278"/>
      <c r="C197" s="278"/>
      <c r="D197" s="278"/>
      <c r="E197" s="278"/>
      <c r="F197" s="278"/>
      <c r="G197" s="278"/>
      <c r="H197" s="278"/>
      <c r="I197" s="278"/>
      <c r="J197" s="278"/>
      <c r="K197" s="278"/>
      <c r="L197" s="278"/>
      <c r="M197" s="278"/>
      <c r="N197" s="278"/>
      <c r="O197" s="181"/>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I197"/>
      <c r="BJ197"/>
    </row>
    <row r="198" spans="1:62" ht="12.75" customHeight="1" x14ac:dyDescent="0.2">
      <c r="A198" s="226"/>
      <c r="B198" s="229" t="s">
        <v>25</v>
      </c>
      <c r="C198" s="273"/>
      <c r="D198" s="273"/>
      <c r="E198" s="273"/>
      <c r="F198" s="273"/>
      <c r="G198" s="273"/>
      <c r="H198" s="273"/>
      <c r="I198" s="273"/>
      <c r="J198" s="279"/>
      <c r="K198" s="280" t="s">
        <v>280</v>
      </c>
      <c r="L198" s="273"/>
      <c r="M198" s="273"/>
      <c r="N198" s="273"/>
      <c r="O198" s="181"/>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I198"/>
      <c r="BJ198"/>
    </row>
    <row r="199" spans="1:62" ht="25.5" customHeight="1" x14ac:dyDescent="0.2">
      <c r="A199" s="226"/>
      <c r="B199" s="281"/>
      <c r="C199" s="268"/>
      <c r="D199" s="268"/>
      <c r="E199" s="268"/>
      <c r="F199" s="268"/>
      <c r="G199" s="268"/>
      <c r="H199" s="268"/>
      <c r="I199" s="268"/>
      <c r="J199" s="282"/>
      <c r="K199" s="283"/>
      <c r="L199" s="284"/>
      <c r="M199" s="284"/>
      <c r="N199" s="284"/>
      <c r="O199" s="181"/>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I199"/>
      <c r="BJ199"/>
    </row>
    <row r="200" spans="1:62" x14ac:dyDescent="0.2">
      <c r="A200" s="226"/>
      <c r="B200" s="273"/>
      <c r="C200" s="273"/>
      <c r="D200" s="273"/>
      <c r="E200" s="273"/>
      <c r="F200" s="273"/>
      <c r="G200" s="273"/>
      <c r="H200" s="273"/>
      <c r="I200" s="273"/>
      <c r="J200" s="273"/>
      <c r="K200" s="273"/>
      <c r="L200" s="273"/>
      <c r="M200" s="273"/>
      <c r="N200" s="273"/>
      <c r="O200" s="181"/>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I200"/>
      <c r="BJ200"/>
    </row>
    <row r="201" spans="1:62" x14ac:dyDescent="0.2">
      <c r="A201" s="226"/>
      <c r="B201" s="274" t="s">
        <v>305</v>
      </c>
      <c r="C201" s="262"/>
      <c r="D201" s="262"/>
      <c r="E201" s="262"/>
      <c r="F201" s="262"/>
      <c r="G201" s="262"/>
      <c r="H201" s="262"/>
      <c r="I201" s="262"/>
      <c r="J201" s="262"/>
      <c r="K201" s="262"/>
      <c r="L201" s="262"/>
      <c r="M201" s="262"/>
      <c r="N201" s="262"/>
      <c r="O201" s="18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I201"/>
      <c r="BJ201"/>
    </row>
    <row r="202" spans="1:62" x14ac:dyDescent="0.2">
      <c r="A202" s="226"/>
      <c r="B202" s="275" t="s">
        <v>306</v>
      </c>
      <c r="C202" s="262"/>
      <c r="D202" s="262"/>
      <c r="E202" s="262"/>
      <c r="F202" s="262"/>
      <c r="G202" s="262"/>
      <c r="H202" s="262"/>
      <c r="I202" s="262"/>
      <c r="J202" s="262"/>
      <c r="K202" s="262"/>
      <c r="L202" s="262"/>
      <c r="M202" s="262"/>
      <c r="N202" s="262"/>
      <c r="O202" s="181"/>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I202"/>
      <c r="BJ202"/>
    </row>
  </sheetData>
  <sheetProtection algorithmName="SHA-512" hashValue="rUOJy1zBst9RFvfUC1yAvZR0whOzm+wqV9Uf+vtV8TVOtD9xGkQo0fR9NvGwJnSXgBxCt5N8M2Jq/9CQP9rbhQ==" saltValue="v9CjqOf1I4Vje5Ty4p654A==" spinCount="100000" sheet="1" selectLockedCells="1"/>
  <mergeCells count="260">
    <mergeCell ref="D192:I192"/>
    <mergeCell ref="K192:N192"/>
    <mergeCell ref="D193:I193"/>
    <mergeCell ref="K193:N193"/>
    <mergeCell ref="B200:N200"/>
    <mergeCell ref="B201:N201"/>
    <mergeCell ref="B202:N202"/>
    <mergeCell ref="B194:N194"/>
    <mergeCell ref="B195:I195"/>
    <mergeCell ref="K195:N195"/>
    <mergeCell ref="B196:N196"/>
    <mergeCell ref="B197:N197"/>
    <mergeCell ref="B198:J198"/>
    <mergeCell ref="K198:N198"/>
    <mergeCell ref="B199:J199"/>
    <mergeCell ref="K199:N199"/>
    <mergeCell ref="B186:N186"/>
    <mergeCell ref="F187:H187"/>
    <mergeCell ref="I187:N187"/>
    <mergeCell ref="B188:N188"/>
    <mergeCell ref="B189:J189"/>
    <mergeCell ref="K189:N189"/>
    <mergeCell ref="B190:N190"/>
    <mergeCell ref="D191:I191"/>
    <mergeCell ref="K191:N191"/>
    <mergeCell ref="B180:N180"/>
    <mergeCell ref="D181:G181"/>
    <mergeCell ref="H181:I181"/>
    <mergeCell ref="J181:N181"/>
    <mergeCell ref="B182:N182"/>
    <mergeCell ref="F183:H183"/>
    <mergeCell ref="I183:N183"/>
    <mergeCell ref="B184:N184"/>
    <mergeCell ref="B185:E185"/>
    <mergeCell ref="F185:I185"/>
    <mergeCell ref="J185:L185"/>
    <mergeCell ref="M185:N185"/>
    <mergeCell ref="B176:F176"/>
    <mergeCell ref="G176:J176"/>
    <mergeCell ref="K176:N176"/>
    <mergeCell ref="B177:F177"/>
    <mergeCell ref="G177:J177"/>
    <mergeCell ref="K177:N177"/>
    <mergeCell ref="B178:H178"/>
    <mergeCell ref="I178:N178"/>
    <mergeCell ref="B179:H179"/>
    <mergeCell ref="I179:N179"/>
    <mergeCell ref="Q57:Q58"/>
    <mergeCell ref="R57:R58"/>
    <mergeCell ref="S57:S58"/>
    <mergeCell ref="T57:T58"/>
    <mergeCell ref="U57:U58"/>
    <mergeCell ref="V57:V58"/>
    <mergeCell ref="W57:W58"/>
    <mergeCell ref="A164:A202"/>
    <mergeCell ref="O164:O202"/>
    <mergeCell ref="B164:N164"/>
    <mergeCell ref="B165:N166"/>
    <mergeCell ref="B167:N167"/>
    <mergeCell ref="B168:N168"/>
    <mergeCell ref="B169:F169"/>
    <mergeCell ref="G169:J169"/>
    <mergeCell ref="K169:N169"/>
    <mergeCell ref="B170:F170"/>
    <mergeCell ref="G170:J170"/>
    <mergeCell ref="K170:N170"/>
    <mergeCell ref="B171:N171"/>
    <mergeCell ref="B172:N172"/>
    <mergeCell ref="B173:N173"/>
    <mergeCell ref="B174:N174"/>
    <mergeCell ref="B175:N175"/>
    <mergeCell ref="B162:N162"/>
    <mergeCell ref="J161:N161"/>
    <mergeCell ref="E161:H161"/>
    <mergeCell ref="J159:N159"/>
    <mergeCell ref="E159:H159"/>
    <mergeCell ref="B153:N153"/>
    <mergeCell ref="B127:N127"/>
    <mergeCell ref="E128:I128"/>
    <mergeCell ref="K128:N128"/>
    <mergeCell ref="E130:F130"/>
    <mergeCell ref="H130:I130"/>
    <mergeCell ref="B140:N140"/>
    <mergeCell ref="B141:N141"/>
    <mergeCell ref="B142:N142"/>
    <mergeCell ref="B143:N143"/>
    <mergeCell ref="B154:D154"/>
    <mergeCell ref="K154:M154"/>
    <mergeCell ref="E154:G154"/>
    <mergeCell ref="B149:N149"/>
    <mergeCell ref="B150:N150"/>
    <mergeCell ref="B152:N152"/>
    <mergeCell ref="B151:N151"/>
    <mergeCell ref="E133:F133"/>
    <mergeCell ref="H133:I133"/>
    <mergeCell ref="B125:N125"/>
    <mergeCell ref="B144:N144"/>
    <mergeCell ref="B145:N145"/>
    <mergeCell ref="B146:N146"/>
    <mergeCell ref="B147:N147"/>
    <mergeCell ref="B148:N148"/>
    <mergeCell ref="B137:N137"/>
    <mergeCell ref="B138:N138"/>
    <mergeCell ref="B139:N139"/>
    <mergeCell ref="B126:N126"/>
    <mergeCell ref="B135:N136"/>
    <mergeCell ref="K130:N130"/>
    <mergeCell ref="E131:F131"/>
    <mergeCell ref="H131:I131"/>
    <mergeCell ref="K131:N131"/>
    <mergeCell ref="K132:N132"/>
    <mergeCell ref="H132:I132"/>
    <mergeCell ref="E132:F132"/>
    <mergeCell ref="B134:N134"/>
    <mergeCell ref="E129:N129"/>
    <mergeCell ref="K133:N133"/>
    <mergeCell ref="B124:N124"/>
    <mergeCell ref="B114:N114"/>
    <mergeCell ref="B115:N115"/>
    <mergeCell ref="B116:N116"/>
    <mergeCell ref="B117:N117"/>
    <mergeCell ref="B119:N119"/>
    <mergeCell ref="B123:N123"/>
    <mergeCell ref="B120:N120"/>
    <mergeCell ref="B105:N106"/>
    <mergeCell ref="B122:N122"/>
    <mergeCell ref="B108:N108"/>
    <mergeCell ref="B121:N121"/>
    <mergeCell ref="B110:N110"/>
    <mergeCell ref="B118:N118"/>
    <mergeCell ref="B111:N111"/>
    <mergeCell ref="B112:N112"/>
    <mergeCell ref="B113:N113"/>
    <mergeCell ref="B1:N1"/>
    <mergeCell ref="E10:F10"/>
    <mergeCell ref="E11:F11"/>
    <mergeCell ref="E12:F12"/>
    <mergeCell ref="G7:H7"/>
    <mergeCell ref="G8:H8"/>
    <mergeCell ref="E7:F7"/>
    <mergeCell ref="B2:N2"/>
    <mergeCell ref="B6:N6"/>
    <mergeCell ref="E8:F8"/>
    <mergeCell ref="E9:F9"/>
    <mergeCell ref="B5:N5"/>
    <mergeCell ref="AW46:AW47"/>
    <mergeCell ref="AT46:AT47"/>
    <mergeCell ref="AU46:AU47"/>
    <mergeCell ref="AV46:AV47"/>
    <mergeCell ref="AO46:AO47"/>
    <mergeCell ref="Z46:Z47"/>
    <mergeCell ref="H103:K103"/>
    <mergeCell ref="M103:N103"/>
    <mergeCell ref="K97:M97"/>
    <mergeCell ref="K98:M98"/>
    <mergeCell ref="K99:M99"/>
    <mergeCell ref="K100:M100"/>
    <mergeCell ref="B95:J95"/>
    <mergeCell ref="B73:N73"/>
    <mergeCell ref="B96:J96"/>
    <mergeCell ref="B103:F103"/>
    <mergeCell ref="M102:N102"/>
    <mergeCell ref="K101:M101"/>
    <mergeCell ref="B102:F102"/>
    <mergeCell ref="H102:K102"/>
    <mergeCell ref="K81:N81"/>
    <mergeCell ref="W52:Z52"/>
    <mergeCell ref="W56:Z56"/>
    <mergeCell ref="Q46:Q47"/>
    <mergeCell ref="AH45:AW45"/>
    <mergeCell ref="G9:H9"/>
    <mergeCell ref="G12:H12"/>
    <mergeCell ref="M7:N7"/>
    <mergeCell ref="M8:N8"/>
    <mergeCell ref="M10:N10"/>
    <mergeCell ref="M11:N11"/>
    <mergeCell ref="M9:N9"/>
    <mergeCell ref="I10:J10"/>
    <mergeCell ref="K12:N12"/>
    <mergeCell ref="B31:N31"/>
    <mergeCell ref="B17:N17"/>
    <mergeCell ref="B16:N16"/>
    <mergeCell ref="D28:E28"/>
    <mergeCell ref="B30:N30"/>
    <mergeCell ref="J33:N35"/>
    <mergeCell ref="Q45:V45"/>
    <mergeCell ref="W45:AG45"/>
    <mergeCell ref="E13:F13"/>
    <mergeCell ref="G13:H13"/>
    <mergeCell ref="I13:J13"/>
    <mergeCell ref="K13:L13"/>
    <mergeCell ref="M13:N13"/>
    <mergeCell ref="J19:N29"/>
    <mergeCell ref="Z64:Z65"/>
    <mergeCell ref="W64:W65"/>
    <mergeCell ref="R64:R65"/>
    <mergeCell ref="X46:X47"/>
    <mergeCell ref="V46:V47"/>
    <mergeCell ref="AA46:AA47"/>
    <mergeCell ref="S64:S65"/>
    <mergeCell ref="Y46:Y47"/>
    <mergeCell ref="S46:S47"/>
    <mergeCell ref="R46:R47"/>
    <mergeCell ref="Q63:V63"/>
    <mergeCell ref="Q64:Q65"/>
    <mergeCell ref="U64:U65"/>
    <mergeCell ref="W63:Z63"/>
    <mergeCell ref="V64:V65"/>
    <mergeCell ref="Y64:Y65"/>
    <mergeCell ref="X64:X65"/>
    <mergeCell ref="W46:W47"/>
    <mergeCell ref="X57:X58"/>
    <mergeCell ref="Y57:Y58"/>
    <mergeCell ref="Z57:Z58"/>
    <mergeCell ref="Q56:V56"/>
    <mergeCell ref="Q52:V52"/>
    <mergeCell ref="T64:T65"/>
    <mergeCell ref="AP46:AP47"/>
    <mergeCell ref="AI46:AI47"/>
    <mergeCell ref="AG46:AG47"/>
    <mergeCell ref="T46:T47"/>
    <mergeCell ref="U46:U47"/>
    <mergeCell ref="AS46:AS47"/>
    <mergeCell ref="AJ46:AJ47"/>
    <mergeCell ref="AR46:AR47"/>
    <mergeCell ref="AQ46:AQ47"/>
    <mergeCell ref="AK46:AK47"/>
    <mergeCell ref="AL46:AL47"/>
    <mergeCell ref="AM46:AM47"/>
    <mergeCell ref="AN46:AN47"/>
    <mergeCell ref="AH46:AH47"/>
    <mergeCell ref="AF46:AF47"/>
    <mergeCell ref="AE46:AE47"/>
    <mergeCell ref="AD46:AD47"/>
    <mergeCell ref="AB46:AB47"/>
    <mergeCell ref="AC46:AC47"/>
    <mergeCell ref="B98:J98"/>
    <mergeCell ref="B99:J99"/>
    <mergeCell ref="B100:J100"/>
    <mergeCell ref="B101:J101"/>
    <mergeCell ref="E3:G3"/>
    <mergeCell ref="E4:G4"/>
    <mergeCell ref="I3:N3"/>
    <mergeCell ref="I4:J4"/>
    <mergeCell ref="L4:N4"/>
    <mergeCell ref="J53:N54"/>
    <mergeCell ref="B14:N14"/>
    <mergeCell ref="B15:N15"/>
    <mergeCell ref="J57:N62"/>
    <mergeCell ref="J83:N90"/>
    <mergeCell ref="K91:N96"/>
    <mergeCell ref="J75:N80"/>
    <mergeCell ref="J38:N43"/>
    <mergeCell ref="J46:N50"/>
    <mergeCell ref="J64:N72"/>
    <mergeCell ref="B93:J93"/>
    <mergeCell ref="B94:J94"/>
    <mergeCell ref="B91:J91"/>
    <mergeCell ref="B92:J92"/>
    <mergeCell ref="B44:N44"/>
  </mergeCells>
  <phoneticPr fontId="2" type="noConversion"/>
  <printOptions horizontalCentered="1"/>
  <pageMargins left="0.23622047244094491" right="0.23622047244094491" top="1.1417322834645669" bottom="0.35433070866141736" header="0.31496062992125984" footer="0.23622047244094491"/>
  <pageSetup fitToHeight="0" orientation="portrait" r:id="rId1"/>
  <headerFooter alignWithMargins="0">
    <oddHeader>&amp;L&amp;G&amp;R&amp;"Arial,Bold"&amp;12 &amp;16WINTERIZING WORKSHEET&amp;12
RUNABOUT STORAGE 2022</oddHeader>
    <oddFooter>&amp;C&amp;"Tahoma,Regular"p 705.327.9741 | cratesboats.com | f 705.327.7036&amp;"Arial,Regular"
&amp;"Tahoma,Regular"&amp;8(c) 2022 Crate's Lake Country Boats Inc.&amp;R&amp;7P &amp;P of &amp;N</oddFooter>
  </headerFooter>
  <rowBreaks count="4" manualBreakCount="4">
    <brk id="54" max="14" man="1"/>
    <brk id="106" max="14" man="1"/>
    <brk id="126" max="14" man="1"/>
    <brk id="162" max="14" man="1"/>
  </rowBreaks>
  <ignoredErrors>
    <ignoredError sqref="G66 G86" formula="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0</xdr:colOff>
                    <xdr:row>17</xdr:row>
                    <xdr:rowOff>133350</xdr:rowOff>
                  </from>
                  <to>
                    <xdr:col>3</xdr:col>
                    <xdr:colOff>114300</xdr:colOff>
                    <xdr:row>19</xdr:row>
                    <xdr:rowOff>19050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1</xdr:col>
                    <xdr:colOff>0</xdr:colOff>
                    <xdr:row>18</xdr:row>
                    <xdr:rowOff>152400</xdr:rowOff>
                  </from>
                  <to>
                    <xdr:col>3</xdr:col>
                    <xdr:colOff>114300</xdr:colOff>
                    <xdr:row>20</xdr:row>
                    <xdr:rowOff>38100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1</xdr:col>
                    <xdr:colOff>0</xdr:colOff>
                    <xdr:row>19</xdr:row>
                    <xdr:rowOff>133350</xdr:rowOff>
                  </from>
                  <to>
                    <xdr:col>3</xdr:col>
                    <xdr:colOff>114300</xdr:colOff>
                    <xdr:row>21</xdr:row>
                    <xdr:rowOff>28575</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1</xdr:col>
                    <xdr:colOff>0</xdr:colOff>
                    <xdr:row>21</xdr:row>
                    <xdr:rowOff>133350</xdr:rowOff>
                  </from>
                  <to>
                    <xdr:col>3</xdr:col>
                    <xdr:colOff>114300</xdr:colOff>
                    <xdr:row>23</xdr:row>
                    <xdr:rowOff>28575</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1</xdr:col>
                    <xdr:colOff>0</xdr:colOff>
                    <xdr:row>22</xdr:row>
                    <xdr:rowOff>133350</xdr:rowOff>
                  </from>
                  <to>
                    <xdr:col>3</xdr:col>
                    <xdr:colOff>114300</xdr:colOff>
                    <xdr:row>24</xdr:row>
                    <xdr:rowOff>28575</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1</xdr:col>
                    <xdr:colOff>0</xdr:colOff>
                    <xdr:row>19</xdr:row>
                    <xdr:rowOff>133350</xdr:rowOff>
                  </from>
                  <to>
                    <xdr:col>3</xdr:col>
                    <xdr:colOff>114300</xdr:colOff>
                    <xdr:row>21</xdr:row>
                    <xdr:rowOff>28575</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1</xdr:col>
                    <xdr:colOff>0</xdr:colOff>
                    <xdr:row>21</xdr:row>
                    <xdr:rowOff>133350</xdr:rowOff>
                  </from>
                  <to>
                    <xdr:col>3</xdr:col>
                    <xdr:colOff>114300</xdr:colOff>
                    <xdr:row>23</xdr:row>
                    <xdr:rowOff>28575</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1</xdr:col>
                    <xdr:colOff>0</xdr:colOff>
                    <xdr:row>22</xdr:row>
                    <xdr:rowOff>133350</xdr:rowOff>
                  </from>
                  <to>
                    <xdr:col>3</xdr:col>
                    <xdr:colOff>114300</xdr:colOff>
                    <xdr:row>24</xdr:row>
                    <xdr:rowOff>28575</xdr:rowOff>
                  </to>
                </anchor>
              </controlPr>
            </control>
          </mc:Choice>
        </mc:AlternateContent>
        <mc:AlternateContent xmlns:mc="http://schemas.openxmlformats.org/markup-compatibility/2006">
          <mc:Choice Requires="x14">
            <control shapeId="1050" r:id="rId13" name="Check Box 26">
              <controlPr defaultSize="0" autoFill="0" autoLine="0" autoPict="0">
                <anchor moveWithCells="1">
                  <from>
                    <xdr:col>1</xdr:col>
                    <xdr:colOff>0</xdr:colOff>
                    <xdr:row>19</xdr:row>
                    <xdr:rowOff>133350</xdr:rowOff>
                  </from>
                  <to>
                    <xdr:col>3</xdr:col>
                    <xdr:colOff>114300</xdr:colOff>
                    <xdr:row>21</xdr:row>
                    <xdr:rowOff>28575</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1</xdr:col>
                    <xdr:colOff>0</xdr:colOff>
                    <xdr:row>21</xdr:row>
                    <xdr:rowOff>133350</xdr:rowOff>
                  </from>
                  <to>
                    <xdr:col>3</xdr:col>
                    <xdr:colOff>114300</xdr:colOff>
                    <xdr:row>23</xdr:row>
                    <xdr:rowOff>28575</xdr:rowOff>
                  </to>
                </anchor>
              </controlPr>
            </control>
          </mc:Choice>
        </mc:AlternateContent>
        <mc:AlternateContent xmlns:mc="http://schemas.openxmlformats.org/markup-compatibility/2006">
          <mc:Choice Requires="x14">
            <control shapeId="1052" r:id="rId15" name="Check Box 28">
              <controlPr defaultSize="0" autoFill="0" autoLine="0" autoPict="0">
                <anchor moveWithCells="1">
                  <from>
                    <xdr:col>1</xdr:col>
                    <xdr:colOff>0</xdr:colOff>
                    <xdr:row>22</xdr:row>
                    <xdr:rowOff>133350</xdr:rowOff>
                  </from>
                  <to>
                    <xdr:col>3</xdr:col>
                    <xdr:colOff>114300</xdr:colOff>
                    <xdr:row>24</xdr:row>
                    <xdr:rowOff>28575</xdr:rowOff>
                  </to>
                </anchor>
              </controlPr>
            </control>
          </mc:Choice>
        </mc:AlternateContent>
        <mc:AlternateContent xmlns:mc="http://schemas.openxmlformats.org/markup-compatibility/2006">
          <mc:Choice Requires="x14">
            <control shapeId="1055" r:id="rId16" name="Check Box 31">
              <controlPr defaultSize="0" autoFill="0" autoLine="0" autoPict="0">
                <anchor moveWithCells="1">
                  <from>
                    <xdr:col>1</xdr:col>
                    <xdr:colOff>0</xdr:colOff>
                    <xdr:row>31</xdr:row>
                    <xdr:rowOff>133350</xdr:rowOff>
                  </from>
                  <to>
                    <xdr:col>3</xdr:col>
                    <xdr:colOff>114300</xdr:colOff>
                    <xdr:row>33</xdr:row>
                    <xdr:rowOff>19050</xdr:rowOff>
                  </to>
                </anchor>
              </controlPr>
            </control>
          </mc:Choice>
        </mc:AlternateContent>
        <mc:AlternateContent xmlns:mc="http://schemas.openxmlformats.org/markup-compatibility/2006">
          <mc:Choice Requires="x14">
            <control shapeId="1056" r:id="rId17" name="Check Box 32">
              <controlPr defaultSize="0" autoFill="0" autoLine="0" autoPict="0">
                <anchor moveWithCells="1">
                  <from>
                    <xdr:col>1</xdr:col>
                    <xdr:colOff>0</xdr:colOff>
                    <xdr:row>32</xdr:row>
                    <xdr:rowOff>133350</xdr:rowOff>
                  </from>
                  <to>
                    <xdr:col>3</xdr:col>
                    <xdr:colOff>114300</xdr:colOff>
                    <xdr:row>34</xdr:row>
                    <xdr:rowOff>19050</xdr:rowOff>
                  </to>
                </anchor>
              </controlPr>
            </control>
          </mc:Choice>
        </mc:AlternateContent>
        <mc:AlternateContent xmlns:mc="http://schemas.openxmlformats.org/markup-compatibility/2006">
          <mc:Choice Requires="x14">
            <control shapeId="1064" r:id="rId18" name="Check Box 40">
              <controlPr defaultSize="0" autoFill="0" autoLine="0" autoPict="0">
                <anchor moveWithCells="1">
                  <from>
                    <xdr:col>1</xdr:col>
                    <xdr:colOff>0</xdr:colOff>
                    <xdr:row>36</xdr:row>
                    <xdr:rowOff>133350</xdr:rowOff>
                  </from>
                  <to>
                    <xdr:col>3</xdr:col>
                    <xdr:colOff>114300</xdr:colOff>
                    <xdr:row>38</xdr:row>
                    <xdr:rowOff>19050</xdr:rowOff>
                  </to>
                </anchor>
              </controlPr>
            </control>
          </mc:Choice>
        </mc:AlternateContent>
        <mc:AlternateContent xmlns:mc="http://schemas.openxmlformats.org/markup-compatibility/2006">
          <mc:Choice Requires="x14">
            <control shapeId="1065" r:id="rId19" name="Check Box 41">
              <controlPr defaultSize="0" autoFill="0" autoLine="0" autoPict="0">
                <anchor moveWithCells="1">
                  <from>
                    <xdr:col>1</xdr:col>
                    <xdr:colOff>0</xdr:colOff>
                    <xdr:row>37</xdr:row>
                    <xdr:rowOff>133350</xdr:rowOff>
                  </from>
                  <to>
                    <xdr:col>3</xdr:col>
                    <xdr:colOff>114300</xdr:colOff>
                    <xdr:row>39</xdr:row>
                    <xdr:rowOff>19050</xdr:rowOff>
                  </to>
                </anchor>
              </controlPr>
            </control>
          </mc:Choice>
        </mc:AlternateContent>
        <mc:AlternateContent xmlns:mc="http://schemas.openxmlformats.org/markup-compatibility/2006">
          <mc:Choice Requires="x14">
            <control shapeId="1066" r:id="rId20" name="Check Box 42">
              <controlPr defaultSize="0" autoFill="0" autoLine="0" autoPict="0">
                <anchor moveWithCells="1">
                  <from>
                    <xdr:col>1</xdr:col>
                    <xdr:colOff>0</xdr:colOff>
                    <xdr:row>38</xdr:row>
                    <xdr:rowOff>133350</xdr:rowOff>
                  </from>
                  <to>
                    <xdr:col>3</xdr:col>
                    <xdr:colOff>114300</xdr:colOff>
                    <xdr:row>40</xdr:row>
                    <xdr:rowOff>28575</xdr:rowOff>
                  </to>
                </anchor>
              </controlPr>
            </control>
          </mc:Choice>
        </mc:AlternateContent>
        <mc:AlternateContent xmlns:mc="http://schemas.openxmlformats.org/markup-compatibility/2006">
          <mc:Choice Requires="x14">
            <control shapeId="1067" r:id="rId21" name="Check Box 43">
              <controlPr defaultSize="0" autoFill="0" autoLine="0" autoPict="0">
                <anchor moveWithCells="1">
                  <from>
                    <xdr:col>1</xdr:col>
                    <xdr:colOff>0</xdr:colOff>
                    <xdr:row>39</xdr:row>
                    <xdr:rowOff>133350</xdr:rowOff>
                  </from>
                  <to>
                    <xdr:col>3</xdr:col>
                    <xdr:colOff>114300</xdr:colOff>
                    <xdr:row>41</xdr:row>
                    <xdr:rowOff>28575</xdr:rowOff>
                  </to>
                </anchor>
              </controlPr>
            </control>
          </mc:Choice>
        </mc:AlternateContent>
        <mc:AlternateContent xmlns:mc="http://schemas.openxmlformats.org/markup-compatibility/2006">
          <mc:Choice Requires="x14">
            <control shapeId="1068" r:id="rId22" name="Check Box 44">
              <controlPr defaultSize="0" autoFill="0" autoLine="0" autoPict="0">
                <anchor moveWithCells="1">
                  <from>
                    <xdr:col>1</xdr:col>
                    <xdr:colOff>0</xdr:colOff>
                    <xdr:row>40</xdr:row>
                    <xdr:rowOff>133350</xdr:rowOff>
                  </from>
                  <to>
                    <xdr:col>3</xdr:col>
                    <xdr:colOff>114300</xdr:colOff>
                    <xdr:row>42</xdr:row>
                    <xdr:rowOff>28575</xdr:rowOff>
                  </to>
                </anchor>
              </controlPr>
            </control>
          </mc:Choice>
        </mc:AlternateContent>
        <mc:AlternateContent xmlns:mc="http://schemas.openxmlformats.org/markup-compatibility/2006">
          <mc:Choice Requires="x14">
            <control shapeId="1069" r:id="rId23" name="Check Box 45">
              <controlPr defaultSize="0" autoFill="0" autoLine="0" autoPict="0">
                <anchor moveWithCells="1">
                  <from>
                    <xdr:col>1</xdr:col>
                    <xdr:colOff>0</xdr:colOff>
                    <xdr:row>41</xdr:row>
                    <xdr:rowOff>133350</xdr:rowOff>
                  </from>
                  <to>
                    <xdr:col>3</xdr:col>
                    <xdr:colOff>114300</xdr:colOff>
                    <xdr:row>43</xdr:row>
                    <xdr:rowOff>28575</xdr:rowOff>
                  </to>
                </anchor>
              </controlPr>
            </control>
          </mc:Choice>
        </mc:AlternateContent>
        <mc:AlternateContent xmlns:mc="http://schemas.openxmlformats.org/markup-compatibility/2006">
          <mc:Choice Requires="x14">
            <control shapeId="1086" r:id="rId24" name="Drop Down 62">
              <controlPr defaultSize="0" print="0" autoLine="0" autoPict="0">
                <anchor moveWithCells="1">
                  <from>
                    <xdr:col>12</xdr:col>
                    <xdr:colOff>0</xdr:colOff>
                    <xdr:row>6</xdr:row>
                    <xdr:rowOff>9525</xdr:rowOff>
                  </from>
                  <to>
                    <xdr:col>13</xdr:col>
                    <xdr:colOff>590550</xdr:colOff>
                    <xdr:row>7</xdr:row>
                    <xdr:rowOff>9525</xdr:rowOff>
                  </to>
                </anchor>
              </controlPr>
            </control>
          </mc:Choice>
        </mc:AlternateContent>
        <mc:AlternateContent xmlns:mc="http://schemas.openxmlformats.org/markup-compatibility/2006">
          <mc:Choice Requires="x14">
            <control shapeId="1087" r:id="rId25" name="Drop Down 63">
              <controlPr defaultSize="0" print="0" autoLine="0" autoPict="0">
                <anchor moveWithCells="1">
                  <from>
                    <xdr:col>12</xdr:col>
                    <xdr:colOff>0</xdr:colOff>
                    <xdr:row>9</xdr:row>
                    <xdr:rowOff>0</xdr:rowOff>
                  </from>
                  <to>
                    <xdr:col>13</xdr:col>
                    <xdr:colOff>590550</xdr:colOff>
                    <xdr:row>10</xdr:row>
                    <xdr:rowOff>0</xdr:rowOff>
                  </to>
                </anchor>
              </controlPr>
            </control>
          </mc:Choice>
        </mc:AlternateContent>
        <mc:AlternateContent xmlns:mc="http://schemas.openxmlformats.org/markup-compatibility/2006">
          <mc:Choice Requires="x14">
            <control shapeId="1088" r:id="rId26" name="Drop Down 64">
              <controlPr defaultSize="0" print="0" autoLine="0" autoPict="0">
                <anchor moveWithCells="1">
                  <from>
                    <xdr:col>8</xdr:col>
                    <xdr:colOff>0</xdr:colOff>
                    <xdr:row>8</xdr:row>
                    <xdr:rowOff>0</xdr:rowOff>
                  </from>
                  <to>
                    <xdr:col>9</xdr:col>
                    <xdr:colOff>542925</xdr:colOff>
                    <xdr:row>9</xdr:row>
                    <xdr:rowOff>0</xdr:rowOff>
                  </to>
                </anchor>
              </controlPr>
            </control>
          </mc:Choice>
        </mc:AlternateContent>
        <mc:AlternateContent xmlns:mc="http://schemas.openxmlformats.org/markup-compatibility/2006">
          <mc:Choice Requires="x14">
            <control shapeId="1090" r:id="rId27" name="Drop Down 66">
              <controlPr defaultSize="0" print="0" autoLine="0" autoPict="0">
                <anchor moveWithCells="1">
                  <from>
                    <xdr:col>8</xdr:col>
                    <xdr:colOff>0</xdr:colOff>
                    <xdr:row>9</xdr:row>
                    <xdr:rowOff>0</xdr:rowOff>
                  </from>
                  <to>
                    <xdr:col>9</xdr:col>
                    <xdr:colOff>533400</xdr:colOff>
                    <xdr:row>10</xdr:row>
                    <xdr:rowOff>0</xdr:rowOff>
                  </to>
                </anchor>
              </controlPr>
            </control>
          </mc:Choice>
        </mc:AlternateContent>
        <mc:AlternateContent xmlns:mc="http://schemas.openxmlformats.org/markup-compatibility/2006">
          <mc:Choice Requires="x14">
            <control shapeId="1091" r:id="rId28" name="Check Box 67">
              <controlPr defaultSize="0" autoFill="0" autoLine="0" autoPict="0">
                <anchor moveWithCells="1">
                  <from>
                    <xdr:col>1</xdr:col>
                    <xdr:colOff>0</xdr:colOff>
                    <xdr:row>44</xdr:row>
                    <xdr:rowOff>133350</xdr:rowOff>
                  </from>
                  <to>
                    <xdr:col>3</xdr:col>
                    <xdr:colOff>114300</xdr:colOff>
                    <xdr:row>46</xdr:row>
                    <xdr:rowOff>19050</xdr:rowOff>
                  </to>
                </anchor>
              </controlPr>
            </control>
          </mc:Choice>
        </mc:AlternateContent>
        <mc:AlternateContent xmlns:mc="http://schemas.openxmlformats.org/markup-compatibility/2006">
          <mc:Choice Requires="x14">
            <control shapeId="1096" r:id="rId29" name="Check Box 72">
              <controlPr defaultSize="0" autoFill="0" autoLine="0" autoPict="0">
                <anchor moveWithCells="1">
                  <from>
                    <xdr:col>1</xdr:col>
                    <xdr:colOff>0</xdr:colOff>
                    <xdr:row>47</xdr:row>
                    <xdr:rowOff>133350</xdr:rowOff>
                  </from>
                  <to>
                    <xdr:col>3</xdr:col>
                    <xdr:colOff>114300</xdr:colOff>
                    <xdr:row>49</xdr:row>
                    <xdr:rowOff>28575</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1</xdr:col>
                    <xdr:colOff>0</xdr:colOff>
                    <xdr:row>48</xdr:row>
                    <xdr:rowOff>133350</xdr:rowOff>
                  </from>
                  <to>
                    <xdr:col>3</xdr:col>
                    <xdr:colOff>114300</xdr:colOff>
                    <xdr:row>50</xdr:row>
                    <xdr:rowOff>28575</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1</xdr:col>
                    <xdr:colOff>0</xdr:colOff>
                    <xdr:row>62</xdr:row>
                    <xdr:rowOff>133350</xdr:rowOff>
                  </from>
                  <to>
                    <xdr:col>3</xdr:col>
                    <xdr:colOff>114300</xdr:colOff>
                    <xdr:row>64</xdr:row>
                    <xdr:rowOff>19050</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1</xdr:col>
                    <xdr:colOff>0</xdr:colOff>
                    <xdr:row>63</xdr:row>
                    <xdr:rowOff>133350</xdr:rowOff>
                  </from>
                  <to>
                    <xdr:col>3</xdr:col>
                    <xdr:colOff>114300</xdr:colOff>
                    <xdr:row>65</xdr:row>
                    <xdr:rowOff>19050</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1</xdr:col>
                    <xdr:colOff>0</xdr:colOff>
                    <xdr:row>66</xdr:row>
                    <xdr:rowOff>142875</xdr:rowOff>
                  </from>
                  <to>
                    <xdr:col>3</xdr:col>
                    <xdr:colOff>114300</xdr:colOff>
                    <xdr:row>68</xdr:row>
                    <xdr:rowOff>38100</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1</xdr:col>
                    <xdr:colOff>0</xdr:colOff>
                    <xdr:row>67</xdr:row>
                    <xdr:rowOff>133350</xdr:rowOff>
                  </from>
                  <to>
                    <xdr:col>3</xdr:col>
                    <xdr:colOff>114300</xdr:colOff>
                    <xdr:row>69</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1</xdr:col>
                    <xdr:colOff>0</xdr:colOff>
                    <xdr:row>68</xdr:row>
                    <xdr:rowOff>133350</xdr:rowOff>
                  </from>
                  <to>
                    <xdr:col>3</xdr:col>
                    <xdr:colOff>114300</xdr:colOff>
                    <xdr:row>70</xdr:row>
                    <xdr:rowOff>28575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1</xdr:col>
                    <xdr:colOff>0</xdr:colOff>
                    <xdr:row>70</xdr:row>
                    <xdr:rowOff>133350</xdr:rowOff>
                  </from>
                  <to>
                    <xdr:col>3</xdr:col>
                    <xdr:colOff>114300</xdr:colOff>
                    <xdr:row>72</xdr:row>
                    <xdr:rowOff>28575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1</xdr:col>
                    <xdr:colOff>0</xdr:colOff>
                    <xdr:row>73</xdr:row>
                    <xdr:rowOff>133350</xdr:rowOff>
                  </from>
                  <to>
                    <xdr:col>3</xdr:col>
                    <xdr:colOff>114300</xdr:colOff>
                    <xdr:row>75</xdr:row>
                    <xdr:rowOff>19050</xdr:rowOff>
                  </to>
                </anchor>
              </controlPr>
            </control>
          </mc:Choice>
        </mc:AlternateContent>
        <mc:AlternateContent xmlns:mc="http://schemas.openxmlformats.org/markup-compatibility/2006">
          <mc:Choice Requires="x14">
            <control shapeId="1118" r:id="rId38" name="Drop Down 94">
              <controlPr defaultSize="0" print="0" autoLine="0" autoPict="0">
                <anchor moveWithCells="1">
                  <from>
                    <xdr:col>12</xdr:col>
                    <xdr:colOff>0</xdr:colOff>
                    <xdr:row>10</xdr:row>
                    <xdr:rowOff>0</xdr:rowOff>
                  </from>
                  <to>
                    <xdr:col>13</xdr:col>
                    <xdr:colOff>590550</xdr:colOff>
                    <xdr:row>11</xdr:row>
                    <xdr:rowOff>0</xdr:rowOff>
                  </to>
                </anchor>
              </controlPr>
            </control>
          </mc:Choice>
        </mc:AlternateContent>
        <mc:AlternateContent xmlns:mc="http://schemas.openxmlformats.org/markup-compatibility/2006">
          <mc:Choice Requires="x14">
            <control shapeId="1120" r:id="rId39" name="Check Box 96">
              <controlPr defaultSize="0" autoFill="0" autoLine="0" autoPict="0">
                <anchor moveWithCells="1">
                  <from>
                    <xdr:col>1</xdr:col>
                    <xdr:colOff>0</xdr:colOff>
                    <xdr:row>45</xdr:row>
                    <xdr:rowOff>133350</xdr:rowOff>
                  </from>
                  <to>
                    <xdr:col>3</xdr:col>
                    <xdr:colOff>114300</xdr:colOff>
                    <xdr:row>47</xdr:row>
                    <xdr:rowOff>19050</xdr:rowOff>
                  </to>
                </anchor>
              </controlPr>
            </control>
          </mc:Choice>
        </mc:AlternateContent>
        <mc:AlternateContent xmlns:mc="http://schemas.openxmlformats.org/markup-compatibility/2006">
          <mc:Choice Requires="x14">
            <control shapeId="1127" r:id="rId40" name="Check Box 103">
              <controlPr defaultSize="0" autoFill="0" autoLine="0" autoPict="0">
                <anchor moveWithCells="1">
                  <from>
                    <xdr:col>1</xdr:col>
                    <xdr:colOff>0</xdr:colOff>
                    <xdr:row>20</xdr:row>
                    <xdr:rowOff>133350</xdr:rowOff>
                  </from>
                  <to>
                    <xdr:col>3</xdr:col>
                    <xdr:colOff>114300</xdr:colOff>
                    <xdr:row>22</xdr:row>
                    <xdr:rowOff>28575</xdr:rowOff>
                  </to>
                </anchor>
              </controlPr>
            </control>
          </mc:Choice>
        </mc:AlternateContent>
        <mc:AlternateContent xmlns:mc="http://schemas.openxmlformats.org/markup-compatibility/2006">
          <mc:Choice Requires="x14">
            <control shapeId="1128" r:id="rId41" name="Check Box 104">
              <controlPr defaultSize="0" autoFill="0" autoLine="0" autoPict="0">
                <anchor moveWithCells="1">
                  <from>
                    <xdr:col>1</xdr:col>
                    <xdr:colOff>0</xdr:colOff>
                    <xdr:row>21</xdr:row>
                    <xdr:rowOff>133350</xdr:rowOff>
                  </from>
                  <to>
                    <xdr:col>3</xdr:col>
                    <xdr:colOff>114300</xdr:colOff>
                    <xdr:row>23</xdr:row>
                    <xdr:rowOff>28575</xdr:rowOff>
                  </to>
                </anchor>
              </controlPr>
            </control>
          </mc:Choice>
        </mc:AlternateContent>
        <mc:AlternateContent xmlns:mc="http://schemas.openxmlformats.org/markup-compatibility/2006">
          <mc:Choice Requires="x14">
            <control shapeId="1129" r:id="rId42" name="Check Box 105">
              <controlPr defaultSize="0" autoFill="0" autoLine="0" autoPict="0">
                <anchor moveWithCells="1">
                  <from>
                    <xdr:col>1</xdr:col>
                    <xdr:colOff>0</xdr:colOff>
                    <xdr:row>22</xdr:row>
                    <xdr:rowOff>133350</xdr:rowOff>
                  </from>
                  <to>
                    <xdr:col>3</xdr:col>
                    <xdr:colOff>114300</xdr:colOff>
                    <xdr:row>24</xdr:row>
                    <xdr:rowOff>28575</xdr:rowOff>
                  </to>
                </anchor>
              </controlPr>
            </control>
          </mc:Choice>
        </mc:AlternateContent>
        <mc:AlternateContent xmlns:mc="http://schemas.openxmlformats.org/markup-compatibility/2006">
          <mc:Choice Requires="x14">
            <control shapeId="1130" r:id="rId43" name="Check Box 106">
              <controlPr defaultSize="0" autoFill="0" autoLine="0" autoPict="0">
                <anchor moveWithCells="1">
                  <from>
                    <xdr:col>1</xdr:col>
                    <xdr:colOff>0</xdr:colOff>
                    <xdr:row>17</xdr:row>
                    <xdr:rowOff>133350</xdr:rowOff>
                  </from>
                  <to>
                    <xdr:col>3</xdr:col>
                    <xdr:colOff>114300</xdr:colOff>
                    <xdr:row>19</xdr:row>
                    <xdr:rowOff>19050</xdr:rowOff>
                  </to>
                </anchor>
              </controlPr>
            </control>
          </mc:Choice>
        </mc:AlternateContent>
        <mc:AlternateContent xmlns:mc="http://schemas.openxmlformats.org/markup-compatibility/2006">
          <mc:Choice Requires="x14">
            <control shapeId="1131" r:id="rId44" name="Check Box 107">
              <controlPr defaultSize="0" autoFill="0" autoLine="0" autoPict="0">
                <anchor moveWithCells="1">
                  <from>
                    <xdr:col>1</xdr:col>
                    <xdr:colOff>0</xdr:colOff>
                    <xdr:row>17</xdr:row>
                    <xdr:rowOff>133350</xdr:rowOff>
                  </from>
                  <to>
                    <xdr:col>3</xdr:col>
                    <xdr:colOff>114300</xdr:colOff>
                    <xdr:row>19</xdr:row>
                    <xdr:rowOff>19050</xdr:rowOff>
                  </to>
                </anchor>
              </controlPr>
            </control>
          </mc:Choice>
        </mc:AlternateContent>
        <mc:AlternateContent xmlns:mc="http://schemas.openxmlformats.org/markup-compatibility/2006">
          <mc:Choice Requires="x14">
            <control shapeId="1132" r:id="rId45" name="Check Box 108">
              <controlPr defaultSize="0" autoFill="0" autoLine="0" autoPict="0">
                <anchor moveWithCells="1">
                  <from>
                    <xdr:col>1</xdr:col>
                    <xdr:colOff>0</xdr:colOff>
                    <xdr:row>17</xdr:row>
                    <xdr:rowOff>133350</xdr:rowOff>
                  </from>
                  <to>
                    <xdr:col>3</xdr:col>
                    <xdr:colOff>114300</xdr:colOff>
                    <xdr:row>19</xdr:row>
                    <xdr:rowOff>19050</xdr:rowOff>
                  </to>
                </anchor>
              </controlPr>
            </control>
          </mc:Choice>
        </mc:AlternateContent>
        <mc:AlternateContent xmlns:mc="http://schemas.openxmlformats.org/markup-compatibility/2006">
          <mc:Choice Requires="x14">
            <control shapeId="1133" r:id="rId46" name="Check Box 109">
              <controlPr defaultSize="0" autoFill="0" autoLine="0" autoPict="0">
                <anchor moveWithCells="1">
                  <from>
                    <xdr:col>1</xdr:col>
                    <xdr:colOff>0</xdr:colOff>
                    <xdr:row>17</xdr:row>
                    <xdr:rowOff>133350</xdr:rowOff>
                  </from>
                  <to>
                    <xdr:col>3</xdr:col>
                    <xdr:colOff>114300</xdr:colOff>
                    <xdr:row>19</xdr:row>
                    <xdr:rowOff>19050</xdr:rowOff>
                  </to>
                </anchor>
              </controlPr>
            </control>
          </mc:Choice>
        </mc:AlternateContent>
        <mc:AlternateContent xmlns:mc="http://schemas.openxmlformats.org/markup-compatibility/2006">
          <mc:Choice Requires="x14">
            <control shapeId="1134" r:id="rId47" name="Check Box 110">
              <controlPr defaultSize="0" autoFill="0" autoLine="0" autoPict="0">
                <anchor moveWithCells="1">
                  <from>
                    <xdr:col>1</xdr:col>
                    <xdr:colOff>0</xdr:colOff>
                    <xdr:row>37</xdr:row>
                    <xdr:rowOff>133350</xdr:rowOff>
                  </from>
                  <to>
                    <xdr:col>3</xdr:col>
                    <xdr:colOff>114300</xdr:colOff>
                    <xdr:row>39</xdr:row>
                    <xdr:rowOff>19050</xdr:rowOff>
                  </to>
                </anchor>
              </controlPr>
            </control>
          </mc:Choice>
        </mc:AlternateContent>
        <mc:AlternateContent xmlns:mc="http://schemas.openxmlformats.org/markup-compatibility/2006">
          <mc:Choice Requires="x14">
            <control shapeId="1135" r:id="rId48" name="Check Box 111">
              <controlPr defaultSize="0" autoFill="0" autoLine="0" autoPict="0">
                <anchor moveWithCells="1">
                  <from>
                    <xdr:col>1</xdr:col>
                    <xdr:colOff>0</xdr:colOff>
                    <xdr:row>38</xdr:row>
                    <xdr:rowOff>133350</xdr:rowOff>
                  </from>
                  <to>
                    <xdr:col>3</xdr:col>
                    <xdr:colOff>114300</xdr:colOff>
                    <xdr:row>40</xdr:row>
                    <xdr:rowOff>28575</xdr:rowOff>
                  </to>
                </anchor>
              </controlPr>
            </control>
          </mc:Choice>
        </mc:AlternateContent>
        <mc:AlternateContent xmlns:mc="http://schemas.openxmlformats.org/markup-compatibility/2006">
          <mc:Choice Requires="x14">
            <control shapeId="1136" r:id="rId49" name="Check Box 112">
              <controlPr defaultSize="0" autoFill="0" autoLine="0" autoPict="0">
                <anchor moveWithCells="1">
                  <from>
                    <xdr:col>1</xdr:col>
                    <xdr:colOff>0</xdr:colOff>
                    <xdr:row>39</xdr:row>
                    <xdr:rowOff>133350</xdr:rowOff>
                  </from>
                  <to>
                    <xdr:col>3</xdr:col>
                    <xdr:colOff>114300</xdr:colOff>
                    <xdr:row>41</xdr:row>
                    <xdr:rowOff>28575</xdr:rowOff>
                  </to>
                </anchor>
              </controlPr>
            </control>
          </mc:Choice>
        </mc:AlternateContent>
        <mc:AlternateContent xmlns:mc="http://schemas.openxmlformats.org/markup-compatibility/2006">
          <mc:Choice Requires="x14">
            <control shapeId="1137" r:id="rId50" name="Check Box 113">
              <controlPr defaultSize="0" autoFill="0" autoLine="0" autoPict="0">
                <anchor moveWithCells="1">
                  <from>
                    <xdr:col>1</xdr:col>
                    <xdr:colOff>0</xdr:colOff>
                    <xdr:row>40</xdr:row>
                    <xdr:rowOff>133350</xdr:rowOff>
                  </from>
                  <to>
                    <xdr:col>3</xdr:col>
                    <xdr:colOff>114300</xdr:colOff>
                    <xdr:row>42</xdr:row>
                    <xdr:rowOff>28575</xdr:rowOff>
                  </to>
                </anchor>
              </controlPr>
            </control>
          </mc:Choice>
        </mc:AlternateContent>
        <mc:AlternateContent xmlns:mc="http://schemas.openxmlformats.org/markup-compatibility/2006">
          <mc:Choice Requires="x14">
            <control shapeId="1138" r:id="rId51" name="Check Box 114">
              <controlPr defaultSize="0" autoFill="0" autoLine="0" autoPict="0">
                <anchor moveWithCells="1">
                  <from>
                    <xdr:col>1</xdr:col>
                    <xdr:colOff>0</xdr:colOff>
                    <xdr:row>41</xdr:row>
                    <xdr:rowOff>133350</xdr:rowOff>
                  </from>
                  <to>
                    <xdr:col>3</xdr:col>
                    <xdr:colOff>114300</xdr:colOff>
                    <xdr:row>43</xdr:row>
                    <xdr:rowOff>28575</xdr:rowOff>
                  </to>
                </anchor>
              </controlPr>
            </control>
          </mc:Choice>
        </mc:AlternateContent>
        <mc:AlternateContent xmlns:mc="http://schemas.openxmlformats.org/markup-compatibility/2006">
          <mc:Choice Requires="x14">
            <control shapeId="1139" r:id="rId52" name="Check Box 115">
              <controlPr defaultSize="0" autoFill="0" autoLine="0" autoPict="0">
                <anchor moveWithCells="1">
                  <from>
                    <xdr:col>1</xdr:col>
                    <xdr:colOff>0</xdr:colOff>
                    <xdr:row>69</xdr:row>
                    <xdr:rowOff>133350</xdr:rowOff>
                  </from>
                  <to>
                    <xdr:col>3</xdr:col>
                    <xdr:colOff>114300</xdr:colOff>
                    <xdr:row>71</xdr:row>
                    <xdr:rowOff>28575</xdr:rowOff>
                  </to>
                </anchor>
              </controlPr>
            </control>
          </mc:Choice>
        </mc:AlternateContent>
        <mc:AlternateContent xmlns:mc="http://schemas.openxmlformats.org/markup-compatibility/2006">
          <mc:Choice Requires="x14">
            <control shapeId="1140" r:id="rId53" name="Check Box 116">
              <controlPr defaultSize="0" autoFill="0" autoLine="0" autoPict="0">
                <anchor moveWithCells="1">
                  <from>
                    <xdr:col>1</xdr:col>
                    <xdr:colOff>0</xdr:colOff>
                    <xdr:row>64</xdr:row>
                    <xdr:rowOff>133350</xdr:rowOff>
                  </from>
                  <to>
                    <xdr:col>3</xdr:col>
                    <xdr:colOff>114300</xdr:colOff>
                    <xdr:row>66</xdr:row>
                    <xdr:rowOff>28575</xdr:rowOff>
                  </to>
                </anchor>
              </controlPr>
            </control>
          </mc:Choice>
        </mc:AlternateContent>
        <mc:AlternateContent xmlns:mc="http://schemas.openxmlformats.org/markup-compatibility/2006">
          <mc:Choice Requires="x14">
            <control shapeId="1144" r:id="rId54" name="Check Box 120">
              <controlPr defaultSize="0" autoFill="0" autoLine="0" autoPict="0">
                <anchor moveWithCells="1">
                  <from>
                    <xdr:col>1</xdr:col>
                    <xdr:colOff>0</xdr:colOff>
                    <xdr:row>46</xdr:row>
                    <xdr:rowOff>133350</xdr:rowOff>
                  </from>
                  <to>
                    <xdr:col>3</xdr:col>
                    <xdr:colOff>114300</xdr:colOff>
                    <xdr:row>48</xdr:row>
                    <xdr:rowOff>28575</xdr:rowOff>
                  </to>
                </anchor>
              </controlPr>
            </control>
          </mc:Choice>
        </mc:AlternateContent>
        <mc:AlternateContent xmlns:mc="http://schemas.openxmlformats.org/markup-compatibility/2006">
          <mc:Choice Requires="x14">
            <control shapeId="1145" r:id="rId55" name="Check Box 121">
              <controlPr defaultSize="0" autoFill="0" autoLine="0" autoPict="0">
                <anchor moveWithCells="1">
                  <from>
                    <xdr:col>1</xdr:col>
                    <xdr:colOff>0</xdr:colOff>
                    <xdr:row>74</xdr:row>
                    <xdr:rowOff>133350</xdr:rowOff>
                  </from>
                  <to>
                    <xdr:col>3</xdr:col>
                    <xdr:colOff>114300</xdr:colOff>
                    <xdr:row>76</xdr:row>
                    <xdr:rowOff>19050</xdr:rowOff>
                  </to>
                </anchor>
              </controlPr>
            </control>
          </mc:Choice>
        </mc:AlternateContent>
        <mc:AlternateContent xmlns:mc="http://schemas.openxmlformats.org/markup-compatibility/2006">
          <mc:Choice Requires="x14">
            <control shapeId="1146" r:id="rId56" name="Check Box 122">
              <controlPr defaultSize="0" autoFill="0" autoLine="0" autoPict="0">
                <anchor moveWithCells="1">
                  <from>
                    <xdr:col>1</xdr:col>
                    <xdr:colOff>0</xdr:colOff>
                    <xdr:row>75</xdr:row>
                    <xdr:rowOff>133350</xdr:rowOff>
                  </from>
                  <to>
                    <xdr:col>3</xdr:col>
                    <xdr:colOff>114300</xdr:colOff>
                    <xdr:row>77</xdr:row>
                    <xdr:rowOff>28575</xdr:rowOff>
                  </to>
                </anchor>
              </controlPr>
            </control>
          </mc:Choice>
        </mc:AlternateContent>
        <mc:AlternateContent xmlns:mc="http://schemas.openxmlformats.org/markup-compatibility/2006">
          <mc:Choice Requires="x14">
            <control shapeId="1147" r:id="rId57" name="Check Box 123">
              <controlPr defaultSize="0" autoFill="0" autoLine="0" autoPict="0">
                <anchor moveWithCells="1">
                  <from>
                    <xdr:col>1</xdr:col>
                    <xdr:colOff>0</xdr:colOff>
                    <xdr:row>76</xdr:row>
                    <xdr:rowOff>133350</xdr:rowOff>
                  </from>
                  <to>
                    <xdr:col>3</xdr:col>
                    <xdr:colOff>114300</xdr:colOff>
                    <xdr:row>78</xdr:row>
                    <xdr:rowOff>28575</xdr:rowOff>
                  </to>
                </anchor>
              </controlPr>
            </control>
          </mc:Choice>
        </mc:AlternateContent>
        <mc:AlternateContent xmlns:mc="http://schemas.openxmlformats.org/markup-compatibility/2006">
          <mc:Choice Requires="x14">
            <control shapeId="1148" r:id="rId58" name="Check Box 124">
              <controlPr defaultSize="0" autoFill="0" autoLine="0" autoPict="0">
                <anchor moveWithCells="1">
                  <from>
                    <xdr:col>1</xdr:col>
                    <xdr:colOff>0</xdr:colOff>
                    <xdr:row>77</xdr:row>
                    <xdr:rowOff>133350</xdr:rowOff>
                  </from>
                  <to>
                    <xdr:col>3</xdr:col>
                    <xdr:colOff>114300</xdr:colOff>
                    <xdr:row>79</xdr:row>
                    <xdr:rowOff>28575</xdr:rowOff>
                  </to>
                </anchor>
              </controlPr>
            </control>
          </mc:Choice>
        </mc:AlternateContent>
        <mc:AlternateContent xmlns:mc="http://schemas.openxmlformats.org/markup-compatibility/2006">
          <mc:Choice Requires="x14">
            <control shapeId="1150" r:id="rId59" name="Check Box 126">
              <controlPr defaultSize="0" autoFill="0" autoLine="0" autoPict="0">
                <anchor moveWithCells="1">
                  <from>
                    <xdr:col>1</xdr:col>
                    <xdr:colOff>0</xdr:colOff>
                    <xdr:row>78</xdr:row>
                    <xdr:rowOff>133350</xdr:rowOff>
                  </from>
                  <to>
                    <xdr:col>3</xdr:col>
                    <xdr:colOff>114300</xdr:colOff>
                    <xdr:row>80</xdr:row>
                    <xdr:rowOff>28575</xdr:rowOff>
                  </to>
                </anchor>
              </controlPr>
            </control>
          </mc:Choice>
        </mc:AlternateContent>
        <mc:AlternateContent xmlns:mc="http://schemas.openxmlformats.org/markup-compatibility/2006">
          <mc:Choice Requires="x14">
            <control shapeId="1151" r:id="rId60" name="Check Box 127">
              <controlPr defaultSize="0" autoFill="0" autoLine="0" autoPict="0">
                <anchor moveWithCells="1">
                  <from>
                    <xdr:col>1</xdr:col>
                    <xdr:colOff>0</xdr:colOff>
                    <xdr:row>81</xdr:row>
                    <xdr:rowOff>133350</xdr:rowOff>
                  </from>
                  <to>
                    <xdr:col>3</xdr:col>
                    <xdr:colOff>114300</xdr:colOff>
                    <xdr:row>83</xdr:row>
                    <xdr:rowOff>28575</xdr:rowOff>
                  </to>
                </anchor>
              </controlPr>
            </control>
          </mc:Choice>
        </mc:AlternateContent>
        <mc:AlternateContent xmlns:mc="http://schemas.openxmlformats.org/markup-compatibility/2006">
          <mc:Choice Requires="x14">
            <control shapeId="1152" r:id="rId61" name="Check Box 128">
              <controlPr defaultSize="0" autoFill="0" autoLine="0" autoPict="0">
                <anchor moveWithCells="1">
                  <from>
                    <xdr:col>1</xdr:col>
                    <xdr:colOff>0</xdr:colOff>
                    <xdr:row>82</xdr:row>
                    <xdr:rowOff>133350</xdr:rowOff>
                  </from>
                  <to>
                    <xdr:col>3</xdr:col>
                    <xdr:colOff>114300</xdr:colOff>
                    <xdr:row>84</xdr:row>
                    <xdr:rowOff>28575</xdr:rowOff>
                  </to>
                </anchor>
              </controlPr>
            </control>
          </mc:Choice>
        </mc:AlternateContent>
        <mc:AlternateContent xmlns:mc="http://schemas.openxmlformats.org/markup-compatibility/2006">
          <mc:Choice Requires="x14">
            <control shapeId="1153" r:id="rId62" name="Check Box 129">
              <controlPr defaultSize="0" autoFill="0" autoLine="0" autoPict="0">
                <anchor moveWithCells="1">
                  <from>
                    <xdr:col>1</xdr:col>
                    <xdr:colOff>0</xdr:colOff>
                    <xdr:row>83</xdr:row>
                    <xdr:rowOff>133350</xdr:rowOff>
                  </from>
                  <to>
                    <xdr:col>3</xdr:col>
                    <xdr:colOff>114300</xdr:colOff>
                    <xdr:row>85</xdr:row>
                    <xdr:rowOff>28575</xdr:rowOff>
                  </to>
                </anchor>
              </controlPr>
            </control>
          </mc:Choice>
        </mc:AlternateContent>
        <mc:AlternateContent xmlns:mc="http://schemas.openxmlformats.org/markup-compatibility/2006">
          <mc:Choice Requires="x14">
            <control shapeId="1154" r:id="rId63" name="Check Box 130">
              <controlPr defaultSize="0" autoFill="0" autoLine="0" autoPict="0">
                <anchor moveWithCells="1">
                  <from>
                    <xdr:col>1</xdr:col>
                    <xdr:colOff>0</xdr:colOff>
                    <xdr:row>84</xdr:row>
                    <xdr:rowOff>133350</xdr:rowOff>
                  </from>
                  <to>
                    <xdr:col>3</xdr:col>
                    <xdr:colOff>114300</xdr:colOff>
                    <xdr:row>86</xdr:row>
                    <xdr:rowOff>28575</xdr:rowOff>
                  </to>
                </anchor>
              </controlPr>
            </control>
          </mc:Choice>
        </mc:AlternateContent>
        <mc:AlternateContent xmlns:mc="http://schemas.openxmlformats.org/markup-compatibility/2006">
          <mc:Choice Requires="x14">
            <control shapeId="1155" r:id="rId64" name="Check Box 131">
              <controlPr defaultSize="0" autoFill="0" autoLine="0" autoPict="0">
                <anchor moveWithCells="1">
                  <from>
                    <xdr:col>1</xdr:col>
                    <xdr:colOff>0</xdr:colOff>
                    <xdr:row>85</xdr:row>
                    <xdr:rowOff>133350</xdr:rowOff>
                  </from>
                  <to>
                    <xdr:col>3</xdr:col>
                    <xdr:colOff>114300</xdr:colOff>
                    <xdr:row>87</xdr:row>
                    <xdr:rowOff>28575</xdr:rowOff>
                  </to>
                </anchor>
              </controlPr>
            </control>
          </mc:Choice>
        </mc:AlternateContent>
        <mc:AlternateContent xmlns:mc="http://schemas.openxmlformats.org/markup-compatibility/2006">
          <mc:Choice Requires="x14">
            <control shapeId="1156" r:id="rId65" name="Check Box 132">
              <controlPr defaultSize="0" autoFill="0" autoLine="0" autoPict="0">
                <anchor moveWithCells="1">
                  <from>
                    <xdr:col>0</xdr:col>
                    <xdr:colOff>104775</xdr:colOff>
                    <xdr:row>87</xdr:row>
                    <xdr:rowOff>133350</xdr:rowOff>
                  </from>
                  <to>
                    <xdr:col>3</xdr:col>
                    <xdr:colOff>114300</xdr:colOff>
                    <xdr:row>89</xdr:row>
                    <xdr:rowOff>28575</xdr:rowOff>
                  </to>
                </anchor>
              </controlPr>
            </control>
          </mc:Choice>
        </mc:AlternateContent>
        <mc:AlternateContent xmlns:mc="http://schemas.openxmlformats.org/markup-compatibility/2006">
          <mc:Choice Requires="x14">
            <control shapeId="1157" r:id="rId66" name="Check Box 133">
              <controlPr defaultSize="0" autoFill="0" autoLine="0" autoPict="0">
                <anchor moveWithCells="1">
                  <from>
                    <xdr:col>1</xdr:col>
                    <xdr:colOff>0</xdr:colOff>
                    <xdr:row>23</xdr:row>
                    <xdr:rowOff>123825</xdr:rowOff>
                  </from>
                  <to>
                    <xdr:col>3</xdr:col>
                    <xdr:colOff>114300</xdr:colOff>
                    <xdr:row>25</xdr:row>
                    <xdr:rowOff>19050</xdr:rowOff>
                  </to>
                </anchor>
              </controlPr>
            </control>
          </mc:Choice>
        </mc:AlternateContent>
        <mc:AlternateContent xmlns:mc="http://schemas.openxmlformats.org/markup-compatibility/2006">
          <mc:Choice Requires="x14">
            <control shapeId="1159" r:id="rId67" name="Check Box 135">
              <controlPr defaultSize="0" autoFill="0" autoLine="0" autoPict="0">
                <anchor moveWithCells="1">
                  <from>
                    <xdr:col>0</xdr:col>
                    <xdr:colOff>238125</xdr:colOff>
                    <xdr:row>24</xdr:row>
                    <xdr:rowOff>123825</xdr:rowOff>
                  </from>
                  <to>
                    <xdr:col>3</xdr:col>
                    <xdr:colOff>114300</xdr:colOff>
                    <xdr:row>26</xdr:row>
                    <xdr:rowOff>19050</xdr:rowOff>
                  </to>
                </anchor>
              </controlPr>
            </control>
          </mc:Choice>
        </mc:AlternateContent>
        <mc:AlternateContent xmlns:mc="http://schemas.openxmlformats.org/markup-compatibility/2006">
          <mc:Choice Requires="x14">
            <control shapeId="1160" r:id="rId68" name="Check Box 136">
              <controlPr defaultSize="0" autoFill="0" autoLine="0" autoPict="0">
                <anchor moveWithCells="1">
                  <from>
                    <xdr:col>1</xdr:col>
                    <xdr:colOff>0</xdr:colOff>
                    <xdr:row>25</xdr:row>
                    <xdr:rowOff>142875</xdr:rowOff>
                  </from>
                  <to>
                    <xdr:col>3</xdr:col>
                    <xdr:colOff>114300</xdr:colOff>
                    <xdr:row>27</xdr:row>
                    <xdr:rowOff>38100</xdr:rowOff>
                  </to>
                </anchor>
              </controlPr>
            </control>
          </mc:Choice>
        </mc:AlternateContent>
        <mc:AlternateContent xmlns:mc="http://schemas.openxmlformats.org/markup-compatibility/2006">
          <mc:Choice Requires="x14">
            <control shapeId="1161" r:id="rId69" name="Check Box 137">
              <controlPr defaultSize="0" autoFill="0" autoLine="0" autoPict="0">
                <anchor moveWithCells="1">
                  <from>
                    <xdr:col>0</xdr:col>
                    <xdr:colOff>238125</xdr:colOff>
                    <xdr:row>26</xdr:row>
                    <xdr:rowOff>142875</xdr:rowOff>
                  </from>
                  <to>
                    <xdr:col>3</xdr:col>
                    <xdr:colOff>114300</xdr:colOff>
                    <xdr:row>28</xdr:row>
                    <xdr:rowOff>28575</xdr:rowOff>
                  </to>
                </anchor>
              </controlPr>
            </control>
          </mc:Choice>
        </mc:AlternateContent>
        <mc:AlternateContent xmlns:mc="http://schemas.openxmlformats.org/markup-compatibility/2006">
          <mc:Choice Requires="x14">
            <control shapeId="1162" r:id="rId70" name="Check Box 138">
              <controlPr defaultSize="0" autoFill="0" autoLine="0" autoPict="0">
                <anchor moveWithCells="1">
                  <from>
                    <xdr:col>1</xdr:col>
                    <xdr:colOff>0</xdr:colOff>
                    <xdr:row>33</xdr:row>
                    <xdr:rowOff>133350</xdr:rowOff>
                  </from>
                  <to>
                    <xdr:col>3</xdr:col>
                    <xdr:colOff>114300</xdr:colOff>
                    <xdr:row>35</xdr:row>
                    <xdr:rowOff>28575</xdr:rowOff>
                  </to>
                </anchor>
              </controlPr>
            </control>
          </mc:Choice>
        </mc:AlternateContent>
        <mc:AlternateContent xmlns:mc="http://schemas.openxmlformats.org/markup-compatibility/2006">
          <mc:Choice Requires="x14">
            <control shapeId="1163" r:id="rId71" name="Check Box 139">
              <controlPr defaultSize="0" autoFill="0" autoLine="0" autoPict="0">
                <anchor moveWithCells="1">
                  <from>
                    <xdr:col>1</xdr:col>
                    <xdr:colOff>0</xdr:colOff>
                    <xdr:row>55</xdr:row>
                    <xdr:rowOff>133350</xdr:rowOff>
                  </from>
                  <to>
                    <xdr:col>3</xdr:col>
                    <xdr:colOff>114300</xdr:colOff>
                    <xdr:row>57</xdr:row>
                    <xdr:rowOff>9525</xdr:rowOff>
                  </to>
                </anchor>
              </controlPr>
            </control>
          </mc:Choice>
        </mc:AlternateContent>
        <mc:AlternateContent xmlns:mc="http://schemas.openxmlformats.org/markup-compatibility/2006">
          <mc:Choice Requires="x14">
            <control shapeId="1164" r:id="rId72" name="Check Box 140">
              <controlPr defaultSize="0" autoFill="0" autoLine="0" autoPict="0">
                <anchor moveWithCells="1">
                  <from>
                    <xdr:col>1</xdr:col>
                    <xdr:colOff>0</xdr:colOff>
                    <xdr:row>56</xdr:row>
                    <xdr:rowOff>142875</xdr:rowOff>
                  </from>
                  <to>
                    <xdr:col>3</xdr:col>
                    <xdr:colOff>114300</xdr:colOff>
                    <xdr:row>58</xdr:row>
                    <xdr:rowOff>19050</xdr:rowOff>
                  </to>
                </anchor>
              </controlPr>
            </control>
          </mc:Choice>
        </mc:AlternateContent>
        <mc:AlternateContent xmlns:mc="http://schemas.openxmlformats.org/markup-compatibility/2006">
          <mc:Choice Requires="x14">
            <control shapeId="1165" r:id="rId73" name="Check Box 141">
              <controlPr defaultSize="0" autoFill="0" autoLine="0" autoPict="0">
                <anchor moveWithCells="1">
                  <from>
                    <xdr:col>1</xdr:col>
                    <xdr:colOff>0</xdr:colOff>
                    <xdr:row>59</xdr:row>
                    <xdr:rowOff>142875</xdr:rowOff>
                  </from>
                  <to>
                    <xdr:col>3</xdr:col>
                    <xdr:colOff>114300</xdr:colOff>
                    <xdr:row>61</xdr:row>
                    <xdr:rowOff>38100</xdr:rowOff>
                  </to>
                </anchor>
              </controlPr>
            </control>
          </mc:Choice>
        </mc:AlternateContent>
        <mc:AlternateContent xmlns:mc="http://schemas.openxmlformats.org/markup-compatibility/2006">
          <mc:Choice Requires="x14">
            <control shapeId="1166" r:id="rId74" name="Check Box 142">
              <controlPr defaultSize="0" autoFill="0" autoLine="0" autoPict="0">
                <anchor moveWithCells="1">
                  <from>
                    <xdr:col>1</xdr:col>
                    <xdr:colOff>0</xdr:colOff>
                    <xdr:row>57</xdr:row>
                    <xdr:rowOff>133350</xdr:rowOff>
                  </from>
                  <to>
                    <xdr:col>3</xdr:col>
                    <xdr:colOff>114300</xdr:colOff>
                    <xdr:row>59</xdr:row>
                    <xdr:rowOff>28575</xdr:rowOff>
                  </to>
                </anchor>
              </controlPr>
            </control>
          </mc:Choice>
        </mc:AlternateContent>
        <mc:AlternateContent xmlns:mc="http://schemas.openxmlformats.org/markup-compatibility/2006">
          <mc:Choice Requires="x14">
            <control shapeId="1167" r:id="rId75" name="Check Box 143">
              <controlPr defaultSize="0" autoFill="0" autoLine="0" autoPict="0">
                <anchor moveWithCells="1">
                  <from>
                    <xdr:col>1</xdr:col>
                    <xdr:colOff>0</xdr:colOff>
                    <xdr:row>58</xdr:row>
                    <xdr:rowOff>133350</xdr:rowOff>
                  </from>
                  <to>
                    <xdr:col>3</xdr:col>
                    <xdr:colOff>114300</xdr:colOff>
                    <xdr:row>60</xdr:row>
                    <xdr:rowOff>28575</xdr:rowOff>
                  </to>
                </anchor>
              </controlPr>
            </control>
          </mc:Choice>
        </mc:AlternateContent>
        <mc:AlternateContent xmlns:mc="http://schemas.openxmlformats.org/markup-compatibility/2006">
          <mc:Choice Requires="x14">
            <control shapeId="1168" r:id="rId76" name="Check Box 144">
              <controlPr defaultSize="0" autoFill="0" autoLine="0" autoPict="0">
                <anchor moveWithCells="1">
                  <from>
                    <xdr:col>1</xdr:col>
                    <xdr:colOff>0</xdr:colOff>
                    <xdr:row>65</xdr:row>
                    <xdr:rowOff>142875</xdr:rowOff>
                  </from>
                  <to>
                    <xdr:col>3</xdr:col>
                    <xdr:colOff>114300</xdr:colOff>
                    <xdr:row>67</xdr:row>
                    <xdr:rowOff>38100</xdr:rowOff>
                  </to>
                </anchor>
              </controlPr>
            </control>
          </mc:Choice>
        </mc:AlternateContent>
        <mc:AlternateContent xmlns:mc="http://schemas.openxmlformats.org/markup-compatibility/2006">
          <mc:Choice Requires="x14">
            <control shapeId="1169" r:id="rId77" name="Check Box 145">
              <controlPr defaultSize="0" autoFill="0" autoLine="0" autoPict="0">
                <anchor moveWithCells="1">
                  <from>
                    <xdr:col>1</xdr:col>
                    <xdr:colOff>0</xdr:colOff>
                    <xdr:row>51</xdr:row>
                    <xdr:rowOff>133350</xdr:rowOff>
                  </from>
                  <to>
                    <xdr:col>3</xdr:col>
                    <xdr:colOff>114300</xdr:colOff>
                    <xdr:row>53</xdr:row>
                    <xdr:rowOff>19050</xdr:rowOff>
                  </to>
                </anchor>
              </controlPr>
            </control>
          </mc:Choice>
        </mc:AlternateContent>
        <mc:AlternateContent xmlns:mc="http://schemas.openxmlformats.org/markup-compatibility/2006">
          <mc:Choice Requires="x14">
            <control shapeId="1170" r:id="rId78" name="Check Box 146">
              <controlPr defaultSize="0" autoFill="0" autoLine="0" autoPict="0">
                <anchor moveWithCells="1">
                  <from>
                    <xdr:col>0</xdr:col>
                    <xdr:colOff>104775</xdr:colOff>
                    <xdr:row>86</xdr:row>
                    <xdr:rowOff>142875</xdr:rowOff>
                  </from>
                  <to>
                    <xdr:col>3</xdr:col>
                    <xdr:colOff>114300</xdr:colOff>
                    <xdr:row>88</xdr:row>
                    <xdr:rowOff>38100</xdr:rowOff>
                  </to>
                </anchor>
              </controlPr>
            </control>
          </mc:Choice>
        </mc:AlternateContent>
        <mc:AlternateContent xmlns:mc="http://schemas.openxmlformats.org/markup-compatibility/2006">
          <mc:Choice Requires="x14">
            <control shapeId="1171" r:id="rId79" name="Check Box 147">
              <controlPr defaultSize="0" autoFill="0" autoLine="0" autoPict="0" altText="">
                <anchor moveWithCells="1">
                  <from>
                    <xdr:col>4</xdr:col>
                    <xdr:colOff>571500</xdr:colOff>
                    <xdr:row>182</xdr:row>
                    <xdr:rowOff>19050</xdr:rowOff>
                  </from>
                  <to>
                    <xdr:col>5</xdr:col>
                    <xdr:colOff>9525</xdr:colOff>
                    <xdr:row>183</xdr:row>
                    <xdr:rowOff>47625</xdr:rowOff>
                  </to>
                </anchor>
              </controlPr>
            </control>
          </mc:Choice>
        </mc:AlternateContent>
        <mc:AlternateContent xmlns:mc="http://schemas.openxmlformats.org/markup-compatibility/2006">
          <mc:Choice Requires="x14">
            <control shapeId="1172" r:id="rId80" name="Check Box 148">
              <controlPr defaultSize="0" autoFill="0" autoLine="0" autoPict="0" altText="">
                <anchor moveWithCells="1">
                  <from>
                    <xdr:col>7</xdr:col>
                    <xdr:colOff>409575</xdr:colOff>
                    <xdr:row>182</xdr:row>
                    <xdr:rowOff>19050</xdr:rowOff>
                  </from>
                  <to>
                    <xdr:col>8</xdr:col>
                    <xdr:colOff>66675</xdr:colOff>
                    <xdr:row>183</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2022 Runabout Worksheet</vt:lpstr>
      <vt:lpstr>'2022 Runabout Worksheet'!Print_Area</vt:lpstr>
    </vt:vector>
  </TitlesOfParts>
  <Company>Crate's Lake Country Boats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Brinks</dc:creator>
  <cp:lastModifiedBy>Brian Brinks</cp:lastModifiedBy>
  <cp:lastPrinted>2022-09-13T13:50:33Z</cp:lastPrinted>
  <dcterms:created xsi:type="dcterms:W3CDTF">2012-09-07T21:26:48Z</dcterms:created>
  <dcterms:modified xsi:type="dcterms:W3CDTF">2022-09-13T17:05:07Z</dcterms:modified>
</cp:coreProperties>
</file>